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mc:AlternateContent xmlns:mc="http://schemas.openxmlformats.org/markup-compatibility/2006">
    <mc:Choice Requires="x15">
      <x15ac:absPath xmlns:x15ac="http://schemas.microsoft.com/office/spreadsheetml/2010/11/ac" url="C:\Users\sfkatros\Desktop\"/>
    </mc:Choice>
  </mc:AlternateContent>
  <xr:revisionPtr revIDLastSave="0" documentId="8_{1C329C88-1716-4EB9-88EC-FA2E6F6748A7}" xr6:coauthVersionLast="36" xr6:coauthVersionMax="36" xr10:uidLastSave="{00000000-0000-0000-0000-000000000000}"/>
  <bookViews>
    <workbookView xWindow="0" yWindow="0" windowWidth="28800" windowHeight="12225" xr2:uid="{00000000-000D-0000-FFFF-FFFF00000000}"/>
  </bookViews>
  <sheets>
    <sheet name="2018 Annual Report" sheetId="1" r:id="rId1"/>
  </sheets>
  <definedNames>
    <definedName name="_xlnm._FilterDatabase" localSheetId="0" hidden="1">'2018 Annual Report'!$A$1:$CE$427</definedName>
    <definedName name="Attrition">OFFSET('2018 Annual Report'!$A$41,0,0,29,'2018 Annual Report'!$S$14)</definedName>
    <definedName name="Cover">OFFSET('2018 Annual Report'!$A$1,0,0,41,'2018 Annual Report'!$S$13)</definedName>
    <definedName name="DE">OFFSET('2018 Annual Report'!$A$294,0,0,34,'2018 Annual Report'!$S$22)</definedName>
    <definedName name="Dollar">'2018 Annual Report'!$J$357:$J$364</definedName>
    <definedName name="Employer">OFFSET('2018 Annual Report'!$A$155,0,0,36,'2018 Annual Report'!$S$18)</definedName>
    <definedName name="Graduate">OFFSET('2018 Annual Report'!$A$118,0,0,35,'2018 Annual Report'!$S$17)</definedName>
    <definedName name="Last">OFFSET('2018 Annual Report'!$A$329,0,0,31,'2018 Annual Report'!$S$22)</definedName>
    <definedName name="Placement">OFFSET('2018 Annual Report'!$A$97,0,0,20,'2018 Annual Report'!$S$16)</definedName>
    <definedName name="_xlnm.Print_Area" localSheetId="0">Cover,Attrition,Written,Placement,Graduate,Employer,Satellite,RAM,DE,Last</definedName>
    <definedName name="RAM">OFFSET('2018 Annual Report'!$A$225,0,0,'2018 Annual Report'!$S$409,'2018 Annual Report'!$S$19)</definedName>
    <definedName name="Satellite">OFFSET('2018 Annual Report'!$A$193,0,0,31,'2018 Annual Report'!$S$21)</definedName>
    <definedName name="Written">OFFSET('2018 Annual Report'!$A$71,0,0,22,'2018 Annual Report'!$S$15)</definedName>
    <definedName name="Z_993DF57F_A792_4998_A444_891BBBD74251_.wvu.PrintArea" localSheetId="0" hidden="1">'2018 Annual Report'!$A$1:$N$68,'2018 Annual Report'!$A$71:$CE$116</definedName>
  </definedNames>
  <calcPr calcId="191029"/>
  <customWorkbookViews>
    <customWorkbookView name="Print1" guid="{993DF57F-A792-4998-A444-891BBBD74251}" includeHiddenRowCol="0" maximized="1" windowWidth="1916" windowHeight="855" activeSheetId="1"/>
  </customWorkbookViews>
</workbook>
</file>

<file path=xl/calcChain.xml><?xml version="1.0" encoding="utf-8"?>
<calcChain xmlns="http://schemas.openxmlformats.org/spreadsheetml/2006/main">
  <c r="C425" i="1" l="1"/>
  <c r="B8" i="1"/>
  <c r="B48" i="1" l="1"/>
  <c r="J43" i="1" l="1"/>
  <c r="C387" i="1" l="1"/>
  <c r="I382" i="1"/>
  <c r="I383" i="1" s="1"/>
  <c r="Q381" i="1"/>
  <c r="P381" i="1"/>
  <c r="Q379" i="1"/>
  <c r="P379" i="1"/>
  <c r="Q377" i="1"/>
  <c r="P377" i="1"/>
  <c r="Q375" i="1"/>
  <c r="P375" i="1"/>
  <c r="O381" i="1" l="1"/>
  <c r="O377" i="1"/>
  <c r="O375" i="1"/>
  <c r="O379" i="1"/>
  <c r="P382" i="1"/>
  <c r="O382" i="1" s="1"/>
  <c r="P369" i="1"/>
  <c r="O369" i="1" s="1"/>
  <c r="P366" i="1"/>
  <c r="O366" i="1" s="1"/>
  <c r="P364" i="1"/>
  <c r="O364" i="1" s="1"/>
  <c r="P362" i="1"/>
  <c r="O362" i="1" s="1"/>
  <c r="P360" i="1"/>
  <c r="O360" i="1" s="1"/>
  <c r="P358" i="1"/>
  <c r="O358" i="1" s="1"/>
  <c r="P353" i="1"/>
  <c r="O353" i="1" s="1"/>
  <c r="P350" i="1"/>
  <c r="P347" i="1"/>
  <c r="O347" i="1" s="1"/>
  <c r="P344" i="1"/>
  <c r="O344" i="1" s="1"/>
  <c r="P342" i="1"/>
  <c r="O342" i="1" s="1"/>
  <c r="P340" i="1"/>
  <c r="O340" i="1" s="1"/>
  <c r="P335" i="1"/>
  <c r="O335" i="1" s="1"/>
  <c r="P397" i="1"/>
  <c r="P356" i="1"/>
  <c r="O356" i="1" s="1"/>
  <c r="P338" i="1"/>
  <c r="O338" i="1" s="1"/>
  <c r="C388" i="1"/>
  <c r="O350" i="1" l="1"/>
  <c r="B80" i="1" l="1"/>
  <c r="C385" i="1" l="1"/>
  <c r="G25" i="1"/>
  <c r="B44" i="1"/>
  <c r="C25" i="1"/>
  <c r="P402" i="1" l="1"/>
  <c r="O402" i="1" s="1"/>
  <c r="P390" i="1"/>
  <c r="O390" i="1" s="1"/>
  <c r="P385" i="1"/>
  <c r="O385" i="1" s="1"/>
  <c r="CJ272" i="1"/>
  <c r="CJ270" i="1" s="1"/>
  <c r="CA272" i="1"/>
  <c r="CA270" i="1" s="1"/>
  <c r="BR272" i="1"/>
  <c r="BR270" i="1" s="1"/>
  <c r="BI272" i="1"/>
  <c r="BI270" i="1" s="1"/>
  <c r="AZ272" i="1"/>
  <c r="AZ270" i="1" s="1"/>
  <c r="AG272" i="1"/>
  <c r="AG270" i="1" s="1"/>
  <c r="X272" i="1"/>
  <c r="X270" i="1" s="1"/>
  <c r="O272" i="1"/>
  <c r="O270" i="1" s="1"/>
  <c r="H272" i="1"/>
  <c r="H270" i="1" s="1"/>
  <c r="AQ272" i="1"/>
  <c r="AQ270" i="1" s="1"/>
  <c r="AQ247" i="1"/>
  <c r="AQ245" i="1" s="1"/>
  <c r="AG247" i="1"/>
  <c r="AG245" i="1" s="1"/>
  <c r="X247" i="1"/>
  <c r="X245" i="1" s="1"/>
  <c r="O247" i="1"/>
  <c r="O245" i="1" s="1"/>
  <c r="H247" i="1"/>
  <c r="H245" i="1" s="1"/>
  <c r="CJ247" i="1"/>
  <c r="CJ245" i="1" s="1"/>
  <c r="CA247" i="1"/>
  <c r="CA245" i="1" s="1"/>
  <c r="BI247" i="1"/>
  <c r="BI245" i="1" s="1"/>
  <c r="BR247" i="1"/>
  <c r="BR245" i="1" s="1"/>
  <c r="AZ247" i="1"/>
  <c r="AZ245" i="1" s="1"/>
  <c r="H243" i="1"/>
  <c r="H242" i="1" s="1"/>
  <c r="CJ243" i="1"/>
  <c r="CJ242" i="1" s="1"/>
  <c r="CA243" i="1"/>
  <c r="CA242" i="1" s="1"/>
  <c r="BR243" i="1"/>
  <c r="BR242" i="1" s="1"/>
  <c r="BI243" i="1"/>
  <c r="BI242" i="1" s="1"/>
  <c r="AZ243" i="1"/>
  <c r="AZ242" i="1" s="1"/>
  <c r="AQ243" i="1"/>
  <c r="AQ242" i="1" s="1"/>
  <c r="AG243" i="1"/>
  <c r="AG242" i="1" s="1"/>
  <c r="X243" i="1"/>
  <c r="X242" i="1" s="1"/>
  <c r="O243" i="1"/>
  <c r="O242" i="1" s="1"/>
  <c r="P233" i="1"/>
  <c r="O233" i="1" s="1"/>
  <c r="P231" i="1"/>
  <c r="O231" i="1" s="1"/>
  <c r="P203" i="1"/>
  <c r="O203" i="1" s="1"/>
  <c r="P201" i="1"/>
  <c r="O201" i="1" s="1"/>
  <c r="P74" i="1" l="1"/>
  <c r="O74" i="1" s="1"/>
  <c r="P399" i="1" l="1"/>
  <c r="N165" i="1"/>
  <c r="N128" i="1" l="1"/>
  <c r="N127" i="1"/>
  <c r="E62" i="1" l="1"/>
  <c r="N77" i="1"/>
  <c r="O77" i="1" s="1"/>
  <c r="M81" i="1"/>
  <c r="L81" i="1"/>
  <c r="K81" i="1"/>
  <c r="J81" i="1"/>
  <c r="I81" i="1"/>
  <c r="H81" i="1"/>
  <c r="G81" i="1"/>
  <c r="F81" i="1"/>
  <c r="E81" i="1"/>
  <c r="E104" i="1"/>
  <c r="F83" i="1"/>
  <c r="G83" i="1"/>
  <c r="H83" i="1"/>
  <c r="I83" i="1"/>
  <c r="J83" i="1"/>
  <c r="K83" i="1"/>
  <c r="L83" i="1"/>
  <c r="M83" i="1"/>
  <c r="E83" i="1"/>
  <c r="E106" i="1"/>
  <c r="F82" i="1"/>
  <c r="G82" i="1"/>
  <c r="H82" i="1"/>
  <c r="I82" i="1"/>
  <c r="J82" i="1"/>
  <c r="K82" i="1"/>
  <c r="L82" i="1"/>
  <c r="M82" i="1"/>
  <c r="E82" i="1"/>
  <c r="E105" i="1"/>
  <c r="D72" i="1" l="1"/>
  <c r="C409" i="1" l="1"/>
  <c r="C401" i="1"/>
  <c r="O399" i="1"/>
  <c r="O397" i="1"/>
  <c r="B77" i="1" l="1"/>
  <c r="N85" i="1" l="1"/>
  <c r="N87" i="1" l="1"/>
  <c r="P44" i="1" l="1"/>
  <c r="O44" i="1" s="1"/>
  <c r="P415" i="1" l="1"/>
  <c r="O415" i="1" s="1"/>
  <c r="P387" i="1"/>
  <c r="O387" i="1" s="1"/>
  <c r="H221" i="1" l="1"/>
  <c r="H220" i="1"/>
  <c r="H219" i="1"/>
  <c r="H218" i="1"/>
  <c r="H217" i="1"/>
  <c r="H216" i="1"/>
  <c r="H215" i="1"/>
  <c r="H214" i="1"/>
  <c r="H213" i="1"/>
  <c r="H212" i="1"/>
  <c r="H211" i="1"/>
  <c r="H210" i="1"/>
  <c r="H209" i="1"/>
  <c r="H207" i="1"/>
  <c r="H208" i="1"/>
  <c r="C424" i="1" l="1"/>
  <c r="P61" i="1"/>
  <c r="O61" i="1" s="1"/>
  <c r="P54" i="1"/>
  <c r="O54" i="1" s="1"/>
  <c r="P55" i="1"/>
  <c r="O55" i="1" s="1"/>
  <c r="Q55" i="1"/>
  <c r="O56" i="1" s="1"/>
  <c r="P59" i="1"/>
  <c r="P60" i="1"/>
  <c r="O60" i="1" s="1"/>
  <c r="P18" i="1"/>
  <c r="O18" i="1" s="1"/>
  <c r="C411" i="1"/>
  <c r="B7" i="1"/>
  <c r="O59" i="1" l="1"/>
  <c r="P28" i="1"/>
  <c r="O28" i="1" s="1"/>
  <c r="P25" i="1"/>
  <c r="O25" i="1" s="1"/>
  <c r="J231" i="1"/>
  <c r="P14" i="1" l="1"/>
  <c r="P16" i="1"/>
  <c r="O16" i="1" s="1"/>
  <c r="P21" i="1"/>
  <c r="O21" i="1" s="1"/>
  <c r="P409" i="1"/>
  <c r="O409" i="1" s="1"/>
  <c r="P411" i="1"/>
  <c r="O411" i="1" s="1"/>
  <c r="O14" i="1" l="1"/>
  <c r="C231" i="1" l="1"/>
  <c r="B164" i="1"/>
  <c r="B110" i="1"/>
  <c r="B88" i="1"/>
  <c r="F162" i="1" l="1"/>
  <c r="G162" i="1"/>
  <c r="H162" i="1"/>
  <c r="I162" i="1"/>
  <c r="J162" i="1"/>
  <c r="K162" i="1"/>
  <c r="L162" i="1"/>
  <c r="M162" i="1"/>
  <c r="E162" i="1"/>
  <c r="E125" i="1"/>
  <c r="F161" i="1"/>
  <c r="G161" i="1"/>
  <c r="H161" i="1"/>
  <c r="I161" i="1"/>
  <c r="J161" i="1"/>
  <c r="K161" i="1"/>
  <c r="L161" i="1"/>
  <c r="M161" i="1"/>
  <c r="E161" i="1"/>
  <c r="E124" i="1"/>
  <c r="S409" i="1" l="1"/>
  <c r="S19" i="1"/>
  <c r="S13" i="1"/>
  <c r="E57" i="1"/>
  <c r="E65" i="1" s="1"/>
  <c r="F57" i="1"/>
  <c r="F62" i="1"/>
  <c r="G57" i="1"/>
  <c r="G62" i="1"/>
  <c r="H57" i="1"/>
  <c r="H62" i="1"/>
  <c r="I57" i="1"/>
  <c r="I62" i="1"/>
  <c r="J57" i="1"/>
  <c r="J62" i="1"/>
  <c r="K57" i="1"/>
  <c r="K62" i="1"/>
  <c r="L57" i="1"/>
  <c r="L62" i="1"/>
  <c r="M57" i="1"/>
  <c r="M62" i="1"/>
  <c r="S22" i="1"/>
  <c r="S21" i="1"/>
  <c r="J201" i="1"/>
  <c r="N108" i="1"/>
  <c r="N109" i="1"/>
  <c r="N166" i="1"/>
  <c r="F206" i="1"/>
  <c r="C206" i="1"/>
  <c r="C119" i="1"/>
  <c r="N86" i="1"/>
  <c r="C269" i="1"/>
  <c r="I269" i="1"/>
  <c r="P269" i="1"/>
  <c r="Y269" i="1"/>
  <c r="AI269" i="1"/>
  <c r="AR269" i="1"/>
  <c r="BA269" i="1"/>
  <c r="BJ269" i="1"/>
  <c r="BS269" i="1"/>
  <c r="CB269" i="1"/>
  <c r="CB244" i="1"/>
  <c r="BS244" i="1"/>
  <c r="BJ244" i="1"/>
  <c r="BA244" i="1"/>
  <c r="AR244" i="1"/>
  <c r="AI244" i="1"/>
  <c r="Y244" i="1"/>
  <c r="P244" i="1"/>
  <c r="I244" i="1"/>
  <c r="C244" i="1"/>
  <c r="C205" i="1"/>
  <c r="H206" i="1"/>
  <c r="D203" i="1"/>
  <c r="H203" i="1"/>
  <c r="AB237" i="1"/>
  <c r="AT237" i="1"/>
  <c r="BL237" i="1"/>
  <c r="CD237" i="1"/>
  <c r="N59" i="1"/>
  <c r="N60" i="1"/>
  <c r="N61" i="1"/>
  <c r="F186" i="1"/>
  <c r="G186" i="1"/>
  <c r="H186" i="1"/>
  <c r="I186" i="1"/>
  <c r="J186" i="1"/>
  <c r="K186" i="1"/>
  <c r="L186" i="1"/>
  <c r="M186" i="1"/>
  <c r="E186" i="1"/>
  <c r="E180" i="1"/>
  <c r="F180" i="1"/>
  <c r="G180" i="1"/>
  <c r="H180" i="1"/>
  <c r="I180" i="1"/>
  <c r="J180" i="1"/>
  <c r="K180" i="1"/>
  <c r="L180" i="1"/>
  <c r="M180" i="1"/>
  <c r="E174" i="1"/>
  <c r="F174" i="1"/>
  <c r="G174" i="1"/>
  <c r="H174" i="1"/>
  <c r="I174" i="1"/>
  <c r="J174" i="1"/>
  <c r="K174" i="1"/>
  <c r="L174" i="1"/>
  <c r="M174" i="1"/>
  <c r="E148" i="1"/>
  <c r="F148" i="1"/>
  <c r="G148" i="1"/>
  <c r="H148" i="1"/>
  <c r="I148" i="1"/>
  <c r="J148" i="1"/>
  <c r="K148" i="1"/>
  <c r="L148" i="1"/>
  <c r="M148" i="1"/>
  <c r="E142" i="1"/>
  <c r="F142" i="1"/>
  <c r="G142" i="1"/>
  <c r="H142" i="1"/>
  <c r="I142" i="1"/>
  <c r="J142" i="1"/>
  <c r="K142" i="1"/>
  <c r="L142" i="1"/>
  <c r="M142" i="1"/>
  <c r="E136" i="1"/>
  <c r="H136" i="1"/>
  <c r="I136" i="1"/>
  <c r="F136" i="1"/>
  <c r="G136" i="1"/>
  <c r="J136" i="1"/>
  <c r="K136" i="1"/>
  <c r="L136" i="1"/>
  <c r="M136" i="1"/>
  <c r="N54" i="1"/>
  <c r="N55" i="1"/>
  <c r="N56" i="1"/>
  <c r="N132" i="1"/>
  <c r="N133" i="1"/>
  <c r="N134" i="1"/>
  <c r="N135" i="1"/>
  <c r="N170" i="1"/>
  <c r="N171" i="1"/>
  <c r="N172" i="1"/>
  <c r="N173" i="1"/>
  <c r="N182" i="1"/>
  <c r="N183" i="1"/>
  <c r="N184" i="1"/>
  <c r="N185" i="1"/>
  <c r="N176" i="1"/>
  <c r="N177" i="1"/>
  <c r="N178" i="1"/>
  <c r="N179" i="1"/>
  <c r="N167" i="1"/>
  <c r="N145" i="1"/>
  <c r="N144" i="1"/>
  <c r="N146" i="1"/>
  <c r="N147" i="1"/>
  <c r="N138" i="1"/>
  <c r="N139" i="1"/>
  <c r="N140" i="1"/>
  <c r="N141" i="1"/>
  <c r="N129" i="1"/>
  <c r="C237" i="1"/>
  <c r="M160" i="1"/>
  <c r="L160" i="1"/>
  <c r="K160" i="1"/>
  <c r="J160" i="1"/>
  <c r="I160" i="1"/>
  <c r="H160" i="1"/>
  <c r="G160" i="1"/>
  <c r="F160" i="1"/>
  <c r="E160" i="1"/>
  <c r="D156" i="1"/>
  <c r="C156" i="1"/>
  <c r="BU238" i="1"/>
  <c r="BC238" i="1"/>
  <c r="AK238" i="1"/>
  <c r="R238" i="1"/>
  <c r="BU237" i="1"/>
  <c r="BC237" i="1"/>
  <c r="AK237" i="1"/>
  <c r="R237" i="1"/>
  <c r="BS237" i="1"/>
  <c r="BA237" i="1"/>
  <c r="AI237" i="1"/>
  <c r="P237" i="1"/>
  <c r="C72" i="1"/>
  <c r="D42" i="1"/>
  <c r="C42" i="1"/>
  <c r="D330" i="1"/>
  <c r="C330" i="1"/>
  <c r="D295" i="1"/>
  <c r="C295" i="1"/>
  <c r="D194" i="1"/>
  <c r="C194" i="1"/>
  <c r="D119" i="1"/>
  <c r="D98" i="1"/>
  <c r="C98" i="1"/>
  <c r="C390" i="1"/>
  <c r="BA242" i="1"/>
  <c r="AU267" i="1"/>
  <c r="AU239" i="1"/>
  <c r="I311" i="1"/>
  <c r="H311" i="1"/>
  <c r="G311" i="1"/>
  <c r="D311" i="1"/>
  <c r="C311" i="1"/>
  <c r="C309" i="1"/>
  <c r="H305" i="1"/>
  <c r="H307" i="1"/>
  <c r="C305" i="1"/>
  <c r="H303" i="1"/>
  <c r="H301" i="1"/>
  <c r="C303" i="1"/>
  <c r="C307" i="1"/>
  <c r="CB242" i="1"/>
  <c r="BS242" i="1"/>
  <c r="BM267" i="1"/>
  <c r="BM239" i="1"/>
  <c r="BJ242" i="1"/>
  <c r="AR242" i="1"/>
  <c r="AI242" i="1"/>
  <c r="AC267" i="1"/>
  <c r="AC239" i="1"/>
  <c r="Y242" i="1"/>
  <c r="P242" i="1"/>
  <c r="F106" i="1"/>
  <c r="G106" i="1"/>
  <c r="H106" i="1"/>
  <c r="I106" i="1"/>
  <c r="J106" i="1"/>
  <c r="K106" i="1"/>
  <c r="L106" i="1"/>
  <c r="M106" i="1"/>
  <c r="F105" i="1"/>
  <c r="G105" i="1"/>
  <c r="H105" i="1"/>
  <c r="I105" i="1"/>
  <c r="J105" i="1"/>
  <c r="K105" i="1"/>
  <c r="L105" i="1"/>
  <c r="M105" i="1"/>
  <c r="M104" i="1"/>
  <c r="L104" i="1"/>
  <c r="K104" i="1"/>
  <c r="J104" i="1"/>
  <c r="I104" i="1"/>
  <c r="H104" i="1"/>
  <c r="G104" i="1"/>
  <c r="F104" i="1"/>
  <c r="N52" i="1"/>
  <c r="M123" i="1"/>
  <c r="L123" i="1"/>
  <c r="K123" i="1"/>
  <c r="J123" i="1"/>
  <c r="I123" i="1"/>
  <c r="H123" i="1"/>
  <c r="G123" i="1"/>
  <c r="F123" i="1"/>
  <c r="E123" i="1"/>
  <c r="E49" i="1"/>
  <c r="M49" i="1"/>
  <c r="L49" i="1"/>
  <c r="K49" i="1"/>
  <c r="J49" i="1"/>
  <c r="I49" i="1"/>
  <c r="H49" i="1"/>
  <c r="G49" i="1"/>
  <c r="F49" i="1"/>
  <c r="C235" i="1"/>
  <c r="C233" i="1"/>
  <c r="K267" i="1"/>
  <c r="K239" i="1"/>
  <c r="I242" i="1"/>
  <c r="C242" i="1"/>
  <c r="F125" i="1"/>
  <c r="G125" i="1"/>
  <c r="H125" i="1"/>
  <c r="I125" i="1"/>
  <c r="J125" i="1"/>
  <c r="K125" i="1"/>
  <c r="L125" i="1"/>
  <c r="M125" i="1"/>
  <c r="F124" i="1"/>
  <c r="G124" i="1"/>
  <c r="H124" i="1"/>
  <c r="I124" i="1"/>
  <c r="J124" i="1"/>
  <c r="K124" i="1"/>
  <c r="L124" i="1"/>
  <c r="M124" i="1"/>
  <c r="F65" i="1" l="1"/>
  <c r="J65" i="1"/>
  <c r="I65" i="1"/>
  <c r="H65" i="1"/>
  <c r="L65" i="1"/>
  <c r="K65" i="1"/>
  <c r="M65" i="1"/>
  <c r="G65" i="1"/>
  <c r="N62" i="1"/>
  <c r="M64" i="1"/>
  <c r="M84" i="1" s="1"/>
  <c r="K64" i="1"/>
  <c r="K84" i="1" s="1"/>
  <c r="I64" i="1"/>
  <c r="I84" i="1" s="1"/>
  <c r="G64" i="1"/>
  <c r="G84" i="1" s="1"/>
  <c r="G88" i="1" s="1"/>
  <c r="G89" i="1" s="1"/>
  <c r="E64" i="1"/>
  <c r="E84" i="1" s="1"/>
  <c r="O142" i="1"/>
  <c r="O136" i="1"/>
  <c r="O148" i="1"/>
  <c r="K63" i="1"/>
  <c r="M63" i="1"/>
  <c r="I63" i="1"/>
  <c r="G63" i="1"/>
  <c r="N174" i="1"/>
  <c r="O180" i="1"/>
  <c r="O186" i="1"/>
  <c r="N110" i="1"/>
  <c r="N148" i="1"/>
  <c r="N57" i="1"/>
  <c r="N180" i="1"/>
  <c r="E63" i="1"/>
  <c r="N142" i="1"/>
  <c r="N186" i="1"/>
  <c r="N136" i="1"/>
  <c r="O174" i="1"/>
  <c r="L64" i="1"/>
  <c r="L84" i="1" s="1"/>
  <c r="L63" i="1"/>
  <c r="J64" i="1"/>
  <c r="J84" i="1" s="1"/>
  <c r="J63" i="1"/>
  <c r="H64" i="1"/>
  <c r="H63" i="1"/>
  <c r="F64" i="1"/>
  <c r="F84" i="1" s="1"/>
  <c r="F88" i="1" s="1"/>
  <c r="F63" i="1"/>
  <c r="J88" i="1" l="1"/>
  <c r="J89" i="1"/>
  <c r="M88" i="1"/>
  <c r="M89" i="1"/>
  <c r="K88" i="1"/>
  <c r="K89" i="1"/>
  <c r="I88" i="1"/>
  <c r="I89" i="1"/>
  <c r="L88" i="1"/>
  <c r="L89" i="1"/>
  <c r="E66" i="1"/>
  <c r="E88" i="1"/>
  <c r="E89" i="1" s="1"/>
  <c r="F89" i="1"/>
  <c r="N64" i="1"/>
  <c r="N84" i="1" s="1"/>
  <c r="H84" i="1"/>
  <c r="K107" i="1"/>
  <c r="I107" i="1"/>
  <c r="M66" i="1"/>
  <c r="G107" i="1"/>
  <c r="E163" i="1"/>
  <c r="N164" i="1"/>
  <c r="I126" i="1"/>
  <c r="I149" i="1" s="1"/>
  <c r="E126" i="1"/>
  <c r="M163" i="1"/>
  <c r="I66" i="1"/>
  <c r="I163" i="1"/>
  <c r="M126" i="1"/>
  <c r="M149" i="1" s="1"/>
  <c r="E107" i="1"/>
  <c r="E110" i="1" s="1"/>
  <c r="E111" i="1" s="1"/>
  <c r="M107" i="1"/>
  <c r="M110" i="1" s="1"/>
  <c r="G163" i="1"/>
  <c r="K163" i="1"/>
  <c r="G66" i="1"/>
  <c r="K66" i="1"/>
  <c r="G126" i="1"/>
  <c r="K126" i="1"/>
  <c r="K149" i="1" s="1"/>
  <c r="N63" i="1"/>
  <c r="F66" i="1"/>
  <c r="F163" i="1"/>
  <c r="F126" i="1"/>
  <c r="F149" i="1" s="1"/>
  <c r="F107" i="1"/>
  <c r="F110" i="1" s="1"/>
  <c r="H66" i="1"/>
  <c r="H163" i="1"/>
  <c r="H126" i="1"/>
  <c r="H149" i="1" s="1"/>
  <c r="H107" i="1"/>
  <c r="H110" i="1" s="1"/>
  <c r="J66" i="1"/>
  <c r="J163" i="1"/>
  <c r="J126" i="1"/>
  <c r="J149" i="1" s="1"/>
  <c r="J107" i="1"/>
  <c r="J110" i="1" s="1"/>
  <c r="L66" i="1"/>
  <c r="L163" i="1"/>
  <c r="L126" i="1"/>
  <c r="L107" i="1"/>
  <c r="L110" i="1" s="1"/>
  <c r="N66" i="1" l="1"/>
  <c r="K110" i="1"/>
  <c r="K164" i="1" s="1"/>
  <c r="K187" i="1" s="1"/>
  <c r="I110" i="1"/>
  <c r="I164" i="1" s="1"/>
  <c r="I187" i="1" s="1"/>
  <c r="H88" i="1"/>
  <c r="B91" i="1" s="1"/>
  <c r="H89" i="1"/>
  <c r="P85" i="1"/>
  <c r="O85" i="1" s="1"/>
  <c r="P86" i="1"/>
  <c r="O86" i="1" s="1"/>
  <c r="B68" i="1"/>
  <c r="P87" i="1"/>
  <c r="Y160" i="1"/>
  <c r="Y159" i="1" s="1"/>
  <c r="AI160" i="1"/>
  <c r="AI159" i="1" s="1"/>
  <c r="G110" i="1"/>
  <c r="G164" i="1" s="1"/>
  <c r="G187" i="1" s="1"/>
  <c r="E149" i="1"/>
  <c r="O126" i="1"/>
  <c r="O127" i="1" s="1"/>
  <c r="O150" i="1"/>
  <c r="O128" i="1" s="1"/>
  <c r="K111" i="1"/>
  <c r="E164" i="1"/>
  <c r="I111" i="1"/>
  <c r="F164" i="1"/>
  <c r="F187" i="1" s="1"/>
  <c r="M164" i="1"/>
  <c r="M187" i="1" s="1"/>
  <c r="L164" i="1"/>
  <c r="L187" i="1" s="1"/>
  <c r="J164" i="1"/>
  <c r="J187" i="1" s="1"/>
  <c r="H164" i="1"/>
  <c r="H187" i="1" s="1"/>
  <c r="L149" i="1"/>
  <c r="P108" i="1"/>
  <c r="P109" i="1"/>
  <c r="O109" i="1" s="1"/>
  <c r="G149" i="1"/>
  <c r="N126" i="1"/>
  <c r="N163" i="1"/>
  <c r="N107" i="1"/>
  <c r="N111" i="1" s="1"/>
  <c r="N88" i="1" l="1"/>
  <c r="N89" i="1" s="1"/>
  <c r="B189" i="1"/>
  <c r="B188" i="1" s="1"/>
  <c r="G111" i="1"/>
  <c r="AI123" i="1"/>
  <c r="AI122" i="1" s="1"/>
  <c r="Y123" i="1"/>
  <c r="Y122" i="1" s="1"/>
  <c r="B151" i="1"/>
  <c r="B150" i="1" s="1"/>
  <c r="E187" i="1"/>
  <c r="N187" i="1" s="1"/>
  <c r="O188" i="1"/>
  <c r="O165" i="1" s="1"/>
  <c r="O189" i="1"/>
  <c r="O166" i="1" s="1"/>
  <c r="M111" i="1"/>
  <c r="J111" i="1"/>
  <c r="L111" i="1"/>
  <c r="H111" i="1"/>
  <c r="N65" i="1"/>
  <c r="B67" i="1" s="1"/>
  <c r="F111" i="1"/>
  <c r="N149" i="1"/>
  <c r="O108" i="1"/>
  <c r="O111" i="1"/>
  <c r="O149" i="1"/>
  <c r="S14" i="1"/>
  <c r="Y52" i="1"/>
  <c r="P48" i="1" l="1"/>
  <c r="P187" i="1"/>
  <c r="O187" i="1" s="1"/>
  <c r="P156" i="1"/>
  <c r="S18" i="1"/>
  <c r="B113" i="1"/>
  <c r="S17" i="1"/>
  <c r="R119" i="1"/>
  <c r="R120" i="1"/>
  <c r="P119" i="1"/>
  <c r="AE60" i="1" l="1"/>
  <c r="Q56" i="1"/>
  <c r="BD43" i="1"/>
  <c r="Z48" i="1"/>
  <c r="R43" i="1"/>
  <c r="AI48" i="1"/>
  <c r="AK43" i="1"/>
  <c r="P52" i="1"/>
  <c r="BD42" i="1"/>
  <c r="R42" i="1"/>
  <c r="BL42" i="1"/>
  <c r="Z62" i="1"/>
  <c r="Y48" i="1"/>
  <c r="Z52" i="1"/>
  <c r="AG65" i="1"/>
  <c r="AG64" i="1" s="1"/>
  <c r="BB42" i="1"/>
  <c r="Q59" i="1"/>
  <c r="P56" i="1"/>
  <c r="AH48" i="1"/>
  <c r="W49" i="1"/>
  <c r="X49" i="1" s="1"/>
  <c r="X65" i="1"/>
  <c r="X64" i="1" s="1"/>
  <c r="P42" i="1"/>
  <c r="AI42" i="1"/>
  <c r="Y58" i="1"/>
  <c r="AF55" i="1"/>
  <c r="AG55" i="1" s="1"/>
  <c r="Q52" i="1"/>
  <c r="Q48" i="1"/>
  <c r="AF49" i="1"/>
  <c r="AG49" i="1" s="1"/>
  <c r="AK42" i="1"/>
  <c r="W53" i="1"/>
  <c r="X53" i="1" s="1"/>
  <c r="Z58" i="1"/>
  <c r="W57" i="1"/>
  <c r="X57" i="1" s="1"/>
  <c r="AI49" i="1"/>
  <c r="BJ48" i="1" s="1"/>
  <c r="B112" i="1"/>
  <c r="P100" i="1" s="1"/>
  <c r="R156" i="1"/>
  <c r="R157" i="1"/>
  <c r="S16" i="1"/>
  <c r="AF61" i="1" l="1"/>
  <c r="AG60" i="1" s="1"/>
  <c r="BQ50" i="1"/>
  <c r="BQ49" i="1" s="1"/>
  <c r="AC60" i="1"/>
  <c r="BQ65" i="1"/>
  <c r="BQ64" i="1" s="1"/>
  <c r="Z102" i="1"/>
  <c r="AF102" i="1" s="1"/>
  <c r="AG102" i="1" s="1"/>
  <c r="Q100" i="1"/>
  <c r="BM96" i="1"/>
  <c r="X113" i="1"/>
  <c r="X112" i="1" s="1"/>
  <c r="X103" i="1"/>
  <c r="X102" i="1" s="1"/>
  <c r="BH103" i="1"/>
  <c r="BH102" i="1" s="1"/>
  <c r="AY103" i="1"/>
  <c r="AY102" i="1" s="1"/>
  <c r="AP103" i="1"/>
  <c r="AP102" i="1" s="1"/>
  <c r="BA100" i="1"/>
  <c r="Q111" i="1"/>
  <c r="AI98" i="1"/>
  <c r="AR100" i="1"/>
  <c r="BC98" i="1"/>
  <c r="R99" i="1"/>
  <c r="AQ100" i="1"/>
  <c r="Z100" i="1"/>
  <c r="R98" i="1"/>
  <c r="AK99" i="1"/>
  <c r="BC99" i="1"/>
  <c r="P98" i="1"/>
  <c r="Y100" i="1"/>
  <c r="AK98" i="1"/>
  <c r="AH101" i="1"/>
  <c r="AZ100" i="1"/>
  <c r="AI100" i="1"/>
  <c r="BA98" i="1"/>
  <c r="Z105" i="1" l="1"/>
  <c r="AF105" i="1" s="1"/>
  <c r="AG105" i="1" s="1"/>
  <c r="Z106" i="1"/>
  <c r="AG114" i="1"/>
  <c r="AG113" i="1" s="1"/>
  <c r="AG108" i="1"/>
  <c r="AG107" i="1" s="1"/>
  <c r="Z103" i="1"/>
  <c r="Z112" i="1"/>
  <c r="Z104" i="1"/>
  <c r="O87" i="1" l="1"/>
  <c r="B90" i="1" l="1"/>
  <c r="P76" i="1" s="1"/>
  <c r="S15" i="1"/>
  <c r="Q80" i="1" l="1"/>
  <c r="Q76" i="1"/>
  <c r="AI76" i="1"/>
  <c r="Q81" i="1"/>
  <c r="Z86" i="1"/>
  <c r="AF86" i="1" s="1"/>
  <c r="AG86" i="1" s="1"/>
  <c r="AI86" i="1"/>
  <c r="AP90" i="1" s="1"/>
  <c r="AP89" i="1" s="1"/>
  <c r="AR86" i="1"/>
  <c r="AY90" i="1" s="1"/>
  <c r="AY89" i="1" s="1"/>
  <c r="BA78" i="1"/>
  <c r="BH83" i="1" s="1"/>
  <c r="BH81" i="1" s="1"/>
  <c r="BJ78" i="1"/>
  <c r="BQ83" i="1" s="1"/>
  <c r="BQ80" i="1" s="1"/>
  <c r="BV78" i="1"/>
  <c r="CF83" i="1" s="1"/>
  <c r="CF80" i="1" s="1"/>
  <c r="BV72" i="1"/>
  <c r="CF89" i="1"/>
  <c r="CF88" i="1" s="1"/>
  <c r="AY79" i="1"/>
  <c r="AY78" i="1" s="1"/>
  <c r="AP79" i="1"/>
  <c r="AP78" i="1" s="1"/>
  <c r="AG90" i="1"/>
  <c r="AG89" i="1" s="1"/>
  <c r="AQ76" i="1"/>
  <c r="S72" i="1"/>
  <c r="R73" i="1"/>
  <c r="BV74" i="1"/>
  <c r="BD73" i="1"/>
  <c r="BV87" i="1"/>
  <c r="BA76" i="1"/>
  <c r="P80" i="1"/>
  <c r="AK73" i="1"/>
  <c r="BU87" i="1"/>
  <c r="AK74" i="1"/>
  <c r="AH84" i="1"/>
  <c r="AI72" i="1"/>
  <c r="AI83" i="1"/>
  <c r="BI77" i="1"/>
  <c r="Q72" i="1"/>
  <c r="AQ84" i="1"/>
  <c r="Q78" i="1"/>
  <c r="W78" i="1" s="1"/>
  <c r="X78" i="1" s="1"/>
  <c r="BA72" i="1"/>
  <c r="Z88" i="1"/>
  <c r="BC74" i="1"/>
  <c r="CA72" i="1"/>
  <c r="BU77" i="1"/>
  <c r="Z84" i="1"/>
  <c r="BJ76" i="1"/>
  <c r="AH77" i="1"/>
  <c r="AR76" i="1"/>
  <c r="Y88" i="1"/>
  <c r="AK72" i="1"/>
  <c r="S74" i="1"/>
  <c r="Y84" i="1"/>
  <c r="BV77" i="1"/>
  <c r="AR84" i="1"/>
  <c r="AZ76" i="1"/>
  <c r="BT72" i="1"/>
  <c r="BC72" i="1"/>
  <c r="W81" i="1" l="1"/>
  <c r="X81" i="1" s="1"/>
  <c r="Z76" i="1"/>
  <c r="Q88" i="1"/>
  <c r="Q84" i="1"/>
  <c r="BP78" i="1"/>
  <c r="BQ78" i="1" s="1"/>
  <c r="BJ79" i="1"/>
  <c r="X90" i="1"/>
  <c r="X89" i="1" s="1"/>
  <c r="AO86" i="1"/>
  <c r="AP86" i="1" s="1"/>
  <c r="AR88" i="1"/>
  <c r="AX86" i="1"/>
  <c r="AY86" i="1" s="1"/>
  <c r="BA80" i="1"/>
  <c r="AI88" i="1"/>
  <c r="AG79" i="1"/>
  <c r="AG78" i="1" s="1"/>
  <c r="CE78" i="1"/>
  <c r="CF78" i="1" s="1"/>
  <c r="BV79" i="1"/>
  <c r="BG78" i="1"/>
  <c r="BH78" i="1" s="1"/>
  <c r="Q86" i="1"/>
  <c r="W86" i="1" s="1"/>
  <c r="X86" i="1" s="1"/>
  <c r="AZ48" i="1"/>
  <c r="BJ59" i="1"/>
  <c r="BI48" i="1"/>
  <c r="AQ52" i="1"/>
  <c r="AI62" i="1"/>
  <c r="AH52" i="1"/>
  <c r="BA48" i="1"/>
  <c r="BI59" i="1"/>
  <c r="AI52" i="1"/>
  <c r="AR52" i="1"/>
  <c r="AP65" i="1"/>
  <c r="AP64" i="1" s="1"/>
  <c r="AR48" i="1"/>
  <c r="AH58" i="1"/>
  <c r="AI58" i="1"/>
  <c r="AZ52" i="1"/>
  <c r="AQ48" i="1"/>
  <c r="BA52" i="1"/>
  <c r="BA49" i="1"/>
  <c r="BG49" i="1" s="1"/>
  <c r="BH49" i="1" s="1"/>
  <c r="AI54" i="1"/>
  <c r="AO54" i="1" s="1"/>
  <c r="AP54" i="1" s="1"/>
  <c r="AO49" i="1"/>
  <c r="AP49" i="1" s="1"/>
  <c r="BA53" i="1"/>
  <c r="BG53" i="1" s="1"/>
  <c r="BH53" i="1" s="1"/>
  <c r="AR49" i="1"/>
  <c r="AX49" i="1" s="1"/>
  <c r="AY49" i="1" s="1"/>
  <c r="AI60" i="1"/>
  <c r="AO60" i="1" s="1"/>
  <c r="AP60" i="1" s="1"/>
  <c r="AR54" i="1"/>
  <c r="AR58" i="1" l="1"/>
  <c r="AY65" i="1" s="1"/>
  <c r="AY64" i="1" s="1"/>
  <c r="AX54" i="1"/>
  <c r="AY54" i="1" s="1"/>
  <c r="BA59" i="1"/>
  <c r="BH65" i="1" s="1"/>
  <c r="BH64" i="1" s="1"/>
  <c r="BA55" i="1"/>
  <c r="BA57" i="1"/>
  <c r="BG57" i="1" s="1"/>
  <c r="BH57" i="1" s="1"/>
  <c r="D4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wwg</author>
    <author>Lisa Collard</author>
  </authors>
  <commentList>
    <comment ref="D10" authorId="0" shapeId="0" xr:uid="{00000000-0006-0000-0000-000001000000}">
      <text>
        <r>
          <rPr>
            <b/>
            <sz val="8"/>
            <color indexed="81"/>
            <rFont val="Tahoma"/>
            <family val="2"/>
          </rPr>
          <t>The red triangle in the upper right corner signifies a comment.  It is revealed when the cursor is placed over the cell.</t>
        </r>
      </text>
    </comment>
    <comment ref="B51" authorId="1" shapeId="0" xr:uid="{00000000-0006-0000-0000-000002000000}">
      <text>
        <r>
          <rPr>
            <b/>
            <sz val="9"/>
            <color indexed="81"/>
            <rFont val="Tahoma"/>
            <family val="2"/>
          </rPr>
          <t xml:space="preserve">On-time graduation means enrolled students are expected to complete all course requirements in order to graduate in the designated time-to-certificate or degree for the program.  The resources must be allocated to build and deliver the program in this period of time.  </t>
        </r>
        <r>
          <rPr>
            <sz val="9"/>
            <color indexed="81"/>
            <rFont val="Tahoma"/>
            <family val="2"/>
          </rPr>
          <t xml:space="preserve">
</t>
        </r>
      </text>
    </comment>
    <comment ref="D56" authorId="1" shapeId="0" xr:uid="{00000000-0006-0000-0000-000003000000}">
      <text>
        <r>
          <rPr>
            <b/>
            <sz val="9"/>
            <color indexed="81"/>
            <rFont val="Tahoma"/>
            <family val="2"/>
          </rPr>
          <t>Category can include but is not limited to:</t>
        </r>
        <r>
          <rPr>
            <sz val="9"/>
            <color indexed="81"/>
            <rFont val="Tahoma"/>
            <family val="2"/>
          </rPr>
          <t xml:space="preserve">
-Violation of institution/program policies
-Conduct reasons</t>
        </r>
      </text>
    </comment>
    <comment ref="B84" authorId="1" shapeId="0" xr:uid="{00000000-0006-0000-0000-000004000000}">
      <text>
        <r>
          <rPr>
            <b/>
            <sz val="9"/>
            <color indexed="81"/>
            <rFont val="Tahoma"/>
            <family val="2"/>
          </rPr>
          <t xml:space="preserve">
According to the NREMT (www.nremt.org):
Number passing - 1st attempt = </t>
        </r>
        <r>
          <rPr>
            <sz val="9"/>
            <color indexed="81"/>
            <rFont val="Tahoma"/>
            <family val="2"/>
          </rPr>
          <t>First time a graduate takes and passes the exam in the calendar year being reported.</t>
        </r>
        <r>
          <rPr>
            <b/>
            <sz val="9"/>
            <color indexed="81"/>
            <rFont val="Tahoma"/>
            <family val="2"/>
          </rPr>
          <t xml:space="preserve"> 
Number passing - 3rd attempt cumulative pass rate = </t>
        </r>
        <r>
          <rPr>
            <sz val="9"/>
            <color indexed="81"/>
            <rFont val="Tahoma"/>
            <family val="2"/>
          </rPr>
          <t xml:space="preserve">First, second, and third time a graduate takes and passes the exam in the calendar year being reported.  This does not include any subsequent attempts and passes after the third time.
</t>
        </r>
      </text>
    </comment>
    <comment ref="B85" authorId="1" shapeId="0" xr:uid="{00000000-0006-0000-0000-000005000000}">
      <text>
        <r>
          <rPr>
            <b/>
            <sz val="9"/>
            <color indexed="81"/>
            <rFont val="Tahoma"/>
            <family val="2"/>
          </rPr>
          <t xml:space="preserve">
According to the NREMT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F</t>
        </r>
        <r>
          <rPr>
            <sz val="9"/>
            <color indexed="81"/>
            <rFont val="Tahoma"/>
            <family val="2"/>
          </rPr>
          <t xml:space="preserve">irst, second, and third time a graduate takes and passes the exam in the calendar year being reported.  This does not include any subsequent attempts and passes after the third time.
</t>
        </r>
      </text>
    </comment>
    <comment ref="C85" authorId="1" shapeId="0" xr:uid="{00000000-0006-0000-0000-000006000000}">
      <text>
        <r>
          <rPr>
            <b/>
            <sz val="9"/>
            <color indexed="81"/>
            <rFont val="Tahoma"/>
            <family val="2"/>
          </rPr>
          <t xml:space="preserve">
According to the NREMT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t>
        </r>
        <r>
          <rPr>
            <sz val="9"/>
            <color indexed="81"/>
            <rFont val="Tahoma"/>
            <family val="2"/>
          </rPr>
          <t xml:space="preserve"> First, second, and third time a graduate takes and passes the exam in the calendar year being reported.  This does not include any subsequent attempts and passes after the third time.
</t>
        </r>
      </text>
    </comment>
    <comment ref="B86" authorId="1" shapeId="0" xr:uid="{00000000-0006-0000-0000-000007000000}">
      <text>
        <r>
          <rPr>
            <b/>
            <sz val="9"/>
            <color indexed="81"/>
            <rFont val="Tahoma"/>
            <family val="2"/>
          </rPr>
          <t xml:space="preserve">
According to the NREMT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F</t>
        </r>
        <r>
          <rPr>
            <sz val="9"/>
            <color indexed="81"/>
            <rFont val="Tahoma"/>
            <family val="2"/>
          </rPr>
          <t xml:space="preserve">irst, second, and third time a graduate takes and passes the exam in the calendar year being reported.  This does not include any subsequent attempts and passes after the third time.
</t>
        </r>
      </text>
    </comment>
    <comment ref="C86" authorId="1" shapeId="0" xr:uid="{00000000-0006-0000-0000-000008000000}">
      <text>
        <r>
          <rPr>
            <b/>
            <sz val="9"/>
            <color indexed="81"/>
            <rFont val="Tahoma"/>
            <family val="2"/>
          </rPr>
          <t xml:space="preserve">
According to the NREMT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t>
        </r>
        <r>
          <rPr>
            <sz val="9"/>
            <color indexed="81"/>
            <rFont val="Tahoma"/>
            <family val="2"/>
          </rPr>
          <t xml:space="preserve"> First, second, and third time a graduate takes and passes the exam in the calendar year being reported.  This does not include any subsequent attempts and passes after the third time.
</t>
        </r>
      </text>
    </comment>
    <comment ref="B87" authorId="1" shapeId="0" xr:uid="{00000000-0006-0000-0000-000009000000}">
      <text>
        <r>
          <rPr>
            <b/>
            <sz val="9"/>
            <color indexed="81"/>
            <rFont val="Tahoma"/>
            <family val="2"/>
          </rPr>
          <t xml:space="preserve">
According to the NREMT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t>
        </r>
        <r>
          <rPr>
            <sz val="9"/>
            <color indexed="81"/>
            <rFont val="Tahoma"/>
            <family val="2"/>
          </rPr>
          <t xml:space="preserve">First, second, and third time a graduate takes and passes the exam in the calendar year being reported.  This does not include any subsequent attempts and passes after the third time.
</t>
        </r>
      </text>
    </comment>
    <comment ref="C87" authorId="1" shapeId="0" xr:uid="{00000000-0006-0000-0000-00000A000000}">
      <text>
        <r>
          <rPr>
            <b/>
            <sz val="9"/>
            <color indexed="81"/>
            <rFont val="Tahoma"/>
            <family val="2"/>
          </rPr>
          <t xml:space="preserve">
According to the NREMT (www.nremt.org):
Number passing - 1st attempt = </t>
        </r>
        <r>
          <rPr>
            <sz val="9"/>
            <color indexed="81"/>
            <rFont val="Tahoma"/>
            <family val="2"/>
          </rPr>
          <t xml:space="preserve">First time a graduate takes and passes the exam in the calendar year being reported. </t>
        </r>
        <r>
          <rPr>
            <b/>
            <sz val="9"/>
            <color indexed="81"/>
            <rFont val="Tahoma"/>
            <family val="2"/>
          </rPr>
          <t xml:space="preserve">
Number passing - 3rd attempt cumulative pass rate = </t>
        </r>
        <r>
          <rPr>
            <sz val="9"/>
            <color indexed="81"/>
            <rFont val="Tahoma"/>
            <family val="2"/>
          </rPr>
          <t xml:space="preserve">First, second, and third time a graduate takes and passes the exam in the calendar year being reported.  This does not include any subsequent attempts and passes after the third time.
</t>
        </r>
      </text>
    </comment>
    <comment ref="D108" authorId="1" shapeId="0" xr:uid="{00000000-0006-0000-0000-00000B000000}">
      <text>
        <r>
          <rPr>
            <b/>
            <sz val="9"/>
            <color indexed="81"/>
            <rFont val="Tahoma"/>
            <family val="2"/>
          </rPr>
          <t xml:space="preserve">
“Positive placement” </t>
        </r>
        <r>
          <rPr>
            <sz val="9"/>
            <color indexed="81"/>
            <rFont val="Tahoma"/>
            <family val="2"/>
          </rPr>
          <t>means that the graduate is employed full or part-time in the profession or in a related field; or continuing his/her education; or serving in the military. A related field is one in which the individual is using cognitive, psychomotor, and affective competencies acquired in the educational program.</t>
        </r>
        <r>
          <rPr>
            <b/>
            <sz val="9"/>
            <color indexed="81"/>
            <rFont val="Tahoma"/>
            <family val="2"/>
          </rPr>
          <t xml:space="preserve"> </t>
        </r>
        <r>
          <rPr>
            <sz val="9"/>
            <color indexed="81"/>
            <rFont val="Tahoma"/>
            <family val="2"/>
          </rPr>
          <t xml:space="preserve">
A Paramedic graduate employed as an EMT is not a positive placement.  If the graduate is not employed in a position that uses the Paramedic education acquired in the program, then s/he is not counted as employed in the annual report.</t>
        </r>
      </text>
    </comment>
    <comment ref="H206" authorId="1" shapeId="0" xr:uid="{00000000-0006-0000-0000-00000C000000}">
      <text>
        <r>
          <rPr>
            <sz val="9"/>
            <color indexed="81"/>
            <rFont val="Tahoma"/>
            <family val="2"/>
          </rPr>
          <t xml:space="preserve">This column will auto populate based on the state of the sponsor and the state of the satellite location and cannot be manually adjusted. 
</t>
        </r>
      </text>
    </comment>
  </commentList>
</comments>
</file>

<file path=xl/sharedStrings.xml><?xml version="1.0" encoding="utf-8"?>
<sst xmlns="http://schemas.openxmlformats.org/spreadsheetml/2006/main" count="245" uniqueCount="180">
  <si>
    <t>Does the program operate at any satellite locations?</t>
  </si>
  <si>
    <t>Satellite Locations</t>
  </si>
  <si>
    <t>Distance Education</t>
  </si>
  <si>
    <t>&lt;=== Hovering your cursor over a cell with a red triangle in upper right corner reveals text.  Try it.</t>
  </si>
  <si>
    <t>Committee on Accreditation of Educational Programs for the EMS Professions (CoAEMSP), in cooperation with the Commission on Accreditation of Allied Health Education Programs (CAAHEP)</t>
  </si>
  <si>
    <t xml:space="preserve">Should you have questions as you work through the Annual Report, please contact Lynn at (214) 703-8445 ext 115 or   </t>
  </si>
  <si>
    <t>CoAEMSP 
Program #:</t>
  </si>
  <si>
    <t xml:space="preserve">City:   </t>
  </si>
  <si>
    <t>State:</t>
  </si>
  <si>
    <t xml:space="preserve">  (the 600XXX number assigned by CoAEMSP)</t>
  </si>
  <si>
    <r>
      <rPr>
        <b/>
        <sz val="12"/>
        <rFont val="Arial"/>
        <family val="2"/>
      </rPr>
      <t xml:space="preserve">*Satellite: </t>
    </r>
    <r>
      <rPr>
        <sz val="12"/>
        <rFont val="Arial"/>
        <family val="2"/>
      </rPr>
      <t>Paramedic programs that establish multiple classes in a manner that does not meet the definition of a “section” and for which the program retains operational control, shall be said to have created a “satellite” program. (See CoAEMSP Policy) They may be off-campus location(s) that are advertised or otherwise made known to individuals outside the college at which the Emergency Medical Service core didactic and laboratory courses of the program are available (does not pertain to sites used by a completely on-line/distance education program for individual students).  Satellite location(s) function under the direction of the Key Personnel of the program.</t>
    </r>
  </si>
  <si>
    <t>Is any portion of the program offered through distance education (DE)?</t>
  </si>
  <si>
    <t>http://coaemsp.org/Policy_Procedures.htm</t>
  </si>
  <si>
    <t>Outcomes Summary</t>
  </si>
  <si>
    <t>On-time Graduation Date</t>
  </si>
  <si>
    <t xml:space="preserve">NOTE: Students enrolled at a satellite that is not CoAEMSP approved are at risk of not being eligible for the NREMT exam upon completion of the program.  </t>
  </si>
  <si>
    <t>Current Year Enrollment Date</t>
  </si>
  <si>
    <t>Total Graduates</t>
  </si>
  <si>
    <t>Reporting Year Totals</t>
  </si>
  <si>
    <t>GRADUATE SURVEYS</t>
  </si>
  <si>
    <t>Enrollment Date</t>
  </si>
  <si>
    <t>Total Number of Affective Responses</t>
  </si>
  <si>
    <t>RESOURCE ASSESSMENT</t>
  </si>
  <si>
    <t>Total Number of Cognitive Responses:</t>
  </si>
  <si>
    <t>Total Number of Psychomotor Responses:</t>
  </si>
  <si>
    <t>http://coaemsp.org/Evaluations.htm</t>
  </si>
  <si>
    <t xml:space="preserve"> </t>
  </si>
  <si>
    <t>Retention Threshold 70%</t>
  </si>
  <si>
    <t xml:space="preserve">RETENTION / ATTRITION </t>
  </si>
  <si>
    <t>Total # of Students enrolled in this cohort</t>
  </si>
  <si>
    <t>Sponsoring 
   Institution:</t>
  </si>
  <si>
    <t xml:space="preserve">Accreditation Status:     </t>
  </si>
  <si>
    <t>Positive (Job) Placement</t>
  </si>
  <si>
    <t>Positive (Job) Placement Threshold 70%</t>
  </si>
  <si>
    <t xml:space="preserve">Accredited programs must conduct Resource Assessment at least annually (Standard IIID) and are required to complete a Resource Assessment Matrix (RAM) which includes ten (10) categories [Faculty, Medical Director, Support Personnel, Curriculum, Financial Resources, Facilities, Clinical Resources, Field Internship Resources, Learning Resources, and Physician Interaction].   If programs have identified deficiencies in resources, an action plan and follow up are required to address those deficiencies.  The Advisory Committee should be involved in both assessing the resources and reviewing the result.  All resource assessment documents (i.e. student and personnel surveys, matrix, and data collection spreadsheet) are located on the CoAEMSP website. </t>
  </si>
  <si>
    <t>Please Select</t>
  </si>
  <si>
    <t>*Number dismissed due to grades</t>
  </si>
  <si>
    <t>*Number withdrew due to grades</t>
  </si>
  <si>
    <t>*Number due to other academic</t>
  </si>
  <si>
    <t>*Number due to financial</t>
  </si>
  <si>
    <t>General Information</t>
  </si>
  <si>
    <t>EMPLOYER SURVEYS</t>
  </si>
  <si>
    <t>*Number of Graduates employed</t>
  </si>
  <si>
    <r>
      <t xml:space="preserve">Graduate Cognitive Responses:
   </t>
    </r>
    <r>
      <rPr>
        <b/>
        <sz val="9"/>
        <color rgb="FF0070C0"/>
        <rFont val="Calibri"/>
        <family val="2"/>
        <scheme val="minor"/>
      </rPr>
      <t>*(answer required for each cognitive response)</t>
    </r>
  </si>
  <si>
    <r>
      <t xml:space="preserve">Total Number of Graduate Surveys Returned
</t>
    </r>
    <r>
      <rPr>
        <b/>
        <sz val="9"/>
        <color rgb="FF0070C0"/>
        <rFont val="Calibri"/>
        <family val="2"/>
        <scheme val="minor"/>
      </rPr>
      <t xml:space="preserve">    (answer required for this category)</t>
    </r>
  </si>
  <si>
    <t>*Successful</t>
  </si>
  <si>
    <t>*Marginal</t>
  </si>
  <si>
    <t>*Unsuccessful</t>
  </si>
  <si>
    <t>*N/A</t>
  </si>
  <si>
    <r>
      <t xml:space="preserve">Graduate Psychomotor Responses:
   </t>
    </r>
    <r>
      <rPr>
        <b/>
        <sz val="9"/>
        <color rgb="FF0070C0"/>
        <rFont val="Calibri"/>
        <family val="2"/>
        <scheme val="minor"/>
      </rPr>
      <t>*(answer required for each psychomotor response)</t>
    </r>
  </si>
  <si>
    <r>
      <t xml:space="preserve">Graduate Affective Responses:
   </t>
    </r>
    <r>
      <rPr>
        <b/>
        <sz val="9"/>
        <color rgb="FF0070C0"/>
        <rFont val="Calibri"/>
        <family val="2"/>
        <scheme val="minor"/>
      </rPr>
      <t>*(answer required for each affective response)</t>
    </r>
  </si>
  <si>
    <r>
      <t xml:space="preserve">Employer Cognitive Responses:
 </t>
    </r>
    <r>
      <rPr>
        <b/>
        <sz val="9"/>
        <color rgb="FF0070C0"/>
        <rFont val="Calibri"/>
        <family val="2"/>
        <scheme val="minor"/>
      </rPr>
      <t>*(answer required for each cognitive response)</t>
    </r>
  </si>
  <si>
    <r>
      <t xml:space="preserve">Employer Psychomotor Responses:
 </t>
    </r>
    <r>
      <rPr>
        <b/>
        <sz val="9"/>
        <color rgb="FF0070C0"/>
        <rFont val="Calibri"/>
        <family val="2"/>
        <scheme val="minor"/>
      </rPr>
      <t>*(answer required for each psychomotor response)</t>
    </r>
  </si>
  <si>
    <r>
      <t xml:space="preserve">Employer Affective Responses:
</t>
    </r>
    <r>
      <rPr>
        <b/>
        <sz val="9"/>
        <color rgb="FF0070C0"/>
        <rFont val="Calibri"/>
        <family val="2"/>
        <scheme val="minor"/>
      </rPr>
      <t xml:space="preserve"> *(answer required for each affective response)</t>
    </r>
  </si>
  <si>
    <t xml:space="preserve">For each group of graduating students, programs are required to conduct surveys of those graduates and the employers of those graduates within 6-12 months after graduation using the CoAEMSP required graduate survey items.  </t>
  </si>
  <si>
    <t xml:space="preserve">For each group of graduating students, programs are required to conduct surveys of those graduates and the employers of those graduates within 6-12 months after graduation using the CoAEMSP required employer survey items.  </t>
  </si>
  <si>
    <r>
      <rPr>
        <b/>
        <sz val="12"/>
        <color theme="1"/>
        <rFont val="Calibri"/>
        <family val="2"/>
        <scheme val="minor"/>
      </rPr>
      <t>Non-academic Reasons for Attrition:</t>
    </r>
    <r>
      <rPr>
        <b/>
        <sz val="11"/>
        <color theme="1"/>
        <rFont val="Calibri"/>
        <family val="2"/>
        <scheme val="minor"/>
      </rPr>
      <t xml:space="preserve">
    </t>
    </r>
    <r>
      <rPr>
        <b/>
        <sz val="12"/>
        <color theme="1"/>
        <rFont val="Calibri"/>
        <family val="2"/>
        <scheme val="minor"/>
      </rPr>
      <t xml:space="preserve"> </t>
    </r>
    <r>
      <rPr>
        <b/>
        <sz val="12"/>
        <color theme="5" tint="-0.249977111117893"/>
        <rFont val="Calibri"/>
        <family val="2"/>
        <scheme val="minor"/>
      </rPr>
      <t>*(answer required for each non-academic category or results will not calculate)</t>
    </r>
  </si>
  <si>
    <r>
      <t xml:space="preserve">Total Graduates in Reporting Year
</t>
    </r>
    <r>
      <rPr>
        <b/>
        <sz val="12"/>
        <color theme="5" tint="-0.249977111117893"/>
        <rFont val="Calibri"/>
        <family val="2"/>
        <scheme val="minor"/>
      </rPr>
      <t xml:space="preserve"> *(answer required for each placement
    category)</t>
    </r>
  </si>
  <si>
    <r>
      <t xml:space="preserve">Total Number of Graduate Surveys Sent
   </t>
    </r>
    <r>
      <rPr>
        <b/>
        <sz val="12"/>
        <color theme="5" tint="-0.249977111117893"/>
        <rFont val="Calibri"/>
        <family val="2"/>
        <scheme val="minor"/>
      </rPr>
      <t xml:space="preserve"> (answer required for this category)</t>
    </r>
  </si>
  <si>
    <t>Subtotal # Academic Attrition Reasons</t>
  </si>
  <si>
    <t>Subtotal # Non-academic Attrition Reasons</t>
  </si>
  <si>
    <t>*Number due to medical/personal</t>
  </si>
  <si>
    <t>*Number due to other/unknown</t>
  </si>
  <si>
    <t>Total Attrition</t>
  </si>
  <si>
    <t xml:space="preserve">Attrition % </t>
  </si>
  <si>
    <t>Retention %</t>
  </si>
  <si>
    <r>
      <rPr>
        <b/>
        <sz val="12"/>
        <rFont val="Arial"/>
        <family val="2"/>
      </rPr>
      <t xml:space="preserve">*Distance Education – Method of Instruction: </t>
    </r>
    <r>
      <rPr>
        <sz val="12"/>
        <rFont val="Arial"/>
        <family val="2"/>
      </rPr>
      <t xml:space="preserve">a formal educational process in which the majority of synchronous and asynchronous instruction occurs when student and instructor are not in the same place. Distance education includes, but is not limited to, correspondence study, or audio, video, and/or computer/internet technologies.  
</t>
    </r>
    <r>
      <rPr>
        <b/>
        <sz val="12"/>
        <rFont val="Arial"/>
        <family val="2"/>
      </rPr>
      <t>*Distance Education Program:</t>
    </r>
    <r>
      <rPr>
        <sz val="12"/>
        <rFont val="Arial"/>
        <family val="2"/>
      </rPr>
      <t xml:space="preserve"> delivery of the complete program that allows the completion of the entire curriculum without the need to attend any instruction on a campus location. (Note: this delivery is not hybrid or partial e-learning delivery). To view the entire Distance Education Section see Policy XI on CoAEMSP website using the link provided below:</t>
    </r>
  </si>
  <si>
    <t xml:space="preserve">        </t>
  </si>
  <si>
    <t>Date of Submission:</t>
  </si>
  <si>
    <t xml:space="preserve">By selecting "Yes", I attest that the information in this submission is true and correct, and an accurate description of the paramedic program.  </t>
  </si>
  <si>
    <t>(m/d/yyyy)</t>
  </si>
  <si>
    <t>attrition</t>
  </si>
  <si>
    <t>written</t>
  </si>
  <si>
    <t>placement</t>
  </si>
  <si>
    <t>Grad</t>
  </si>
  <si>
    <t>Employ</t>
  </si>
  <si>
    <t>RAM</t>
  </si>
  <si>
    <t>cover</t>
  </si>
  <si>
    <t>Satellite</t>
  </si>
  <si>
    <t>Last</t>
  </si>
  <si>
    <t>RAM2</t>
  </si>
  <si>
    <t>mm/dd/yyyy =&gt;</t>
  </si>
  <si>
    <r>
      <rPr>
        <b/>
        <sz val="12"/>
        <color theme="1"/>
        <rFont val="Calibri"/>
        <family val="2"/>
        <scheme val="minor"/>
      </rPr>
      <t>Academic Reasons for Attrition:</t>
    </r>
    <r>
      <rPr>
        <b/>
        <sz val="11"/>
        <color theme="1"/>
        <rFont val="Calibri"/>
        <family val="2"/>
        <scheme val="minor"/>
      </rPr>
      <t xml:space="preserve">
    </t>
    </r>
    <r>
      <rPr>
        <b/>
        <sz val="12"/>
        <color theme="1"/>
        <rFont val="Calibri"/>
        <family val="2"/>
        <scheme val="minor"/>
      </rPr>
      <t xml:space="preserve"> </t>
    </r>
    <r>
      <rPr>
        <b/>
        <sz val="12"/>
        <color theme="5" tint="-0.249977111117893"/>
        <rFont val="Calibri"/>
        <family val="2"/>
        <scheme val="minor"/>
      </rPr>
      <t>*(answer required for each academic category or results will not calculate.)</t>
    </r>
  </si>
  <si>
    <t>Has the Program Director attended a CAAHEP/CoAEMSP Accreditation Workshop in the last two (2) years?</t>
  </si>
  <si>
    <t>Program Director Name:</t>
  </si>
  <si>
    <t>The sponsor must maintain, and make available to the public, current and consistent summary information about student/graduate achievement that includes the results of one or more of the outcomes assessments required.</t>
  </si>
  <si>
    <t>CAAHEP Policy V.A.4.:</t>
  </si>
  <si>
    <t>CoAEMSP Policy IV.D.:</t>
  </si>
  <si>
    <t>Direct Website URL (Link) to the Paramedic Program's Homepage Listing Published Outcomes:</t>
  </si>
  <si>
    <t>annualreports@coaemsp.org</t>
  </si>
  <si>
    <t>*Number passing - First attempt</t>
  </si>
  <si>
    <r>
      <t xml:space="preserve">Total Graduates in Reporting Year
</t>
    </r>
    <r>
      <rPr>
        <b/>
        <sz val="12"/>
        <color rgb="FF0070C0"/>
        <rFont val="Calibri"/>
        <family val="2"/>
        <scheme val="minor"/>
      </rPr>
      <t xml:space="preserve"> </t>
    </r>
    <r>
      <rPr>
        <b/>
        <sz val="12"/>
        <color theme="5" tint="-0.249977111117893"/>
        <rFont val="Calibri"/>
        <family val="2"/>
        <scheme val="minor"/>
      </rPr>
      <t xml:space="preserve">*(answer required for each category below)
   </t>
    </r>
    <r>
      <rPr>
        <sz val="12"/>
        <rFont val="Calibri"/>
        <family val="2"/>
        <scheme val="minor"/>
      </rPr>
      <t xml:space="preserve"> see definitions by hovering over
    any of the red comment triangle(s)</t>
    </r>
  </si>
  <si>
    <t>All programs (accredited and LoR) must publish their latest annual outcomes results for the National Registry or State Written Exam, Retention, and Postive Job Placement on the paramedic program's homepage of their website.  At all times, the published results must be consistent with and verifiable by the latest Annual Report of the program.</t>
  </si>
  <si>
    <r>
      <rPr>
        <b/>
        <sz val="12"/>
        <color theme="1"/>
        <rFont val="Calibri"/>
        <family val="2"/>
        <scheme val="minor"/>
      </rPr>
      <t>Total Number of Surveys Sent to Employers of 
   Graduates</t>
    </r>
    <r>
      <rPr>
        <b/>
        <sz val="11"/>
        <color theme="1"/>
        <rFont val="Calibri"/>
        <family val="2"/>
        <scheme val="minor"/>
      </rPr>
      <t xml:space="preserve">
</t>
    </r>
    <r>
      <rPr>
        <b/>
        <sz val="9"/>
        <color rgb="FF0070C0"/>
        <rFont val="Calibri"/>
        <family val="2"/>
        <scheme val="minor"/>
      </rPr>
      <t xml:space="preserve">  </t>
    </r>
    <r>
      <rPr>
        <b/>
        <sz val="12"/>
        <color theme="5" tint="-0.249977111117893"/>
        <rFont val="Calibri"/>
        <family val="2"/>
        <scheme val="minor"/>
      </rPr>
      <t xml:space="preserve"> (answer required for this category)</t>
    </r>
  </si>
  <si>
    <r>
      <rPr>
        <b/>
        <sz val="12"/>
        <color theme="1"/>
        <rFont val="Calibri"/>
        <family val="2"/>
        <scheme val="minor"/>
      </rPr>
      <t>Total Number of Surveys Returned from 
   Employers of Graduates</t>
    </r>
    <r>
      <rPr>
        <b/>
        <sz val="11"/>
        <color theme="1"/>
        <rFont val="Calibri"/>
        <family val="2"/>
        <scheme val="minor"/>
      </rPr>
      <t xml:space="preserve">
</t>
    </r>
    <r>
      <rPr>
        <b/>
        <sz val="12"/>
        <color theme="5" tint="-0.249977111117893"/>
        <rFont val="Calibri"/>
        <family val="2"/>
        <scheme val="minor"/>
      </rPr>
      <t xml:space="preserve">  (answer required for this category)</t>
    </r>
  </si>
  <si>
    <t xml:space="preserve">Are results for both the National Registry &amp; State Written Examinations being reported?  </t>
  </si>
  <si>
    <t>National Registry / State Written Examination</t>
  </si>
  <si>
    <t>National Registry / State Written Threshold 70%</t>
  </si>
  <si>
    <t>*Number of Graduates Attempting the 
  Certification Examination or State License 
  (NREMT + State)</t>
  </si>
  <si>
    <t>Provide a detailed ANALYSIS for Graduate Surveys in the box below</t>
  </si>
  <si>
    <t>Provide a detailed ACTION PLAN for Graduate Surveys in the box below</t>
  </si>
  <si>
    <t>Provide a detailed ANALYSIS for Employer Surveys in the box below</t>
  </si>
  <si>
    <t>Provide a detailed ACTION PLAN for Employer Surveys in the box below</t>
  </si>
  <si>
    <r>
      <rPr>
        <sz val="12"/>
        <rFont val="Calibri"/>
        <family val="2"/>
        <scheme val="minor"/>
      </rPr>
      <t>(For informational purposes only to check for accuracy)
Manually Calculate Employer Survey % Sent Results:</t>
    </r>
    <r>
      <rPr>
        <sz val="12"/>
        <rFont val="Arial"/>
        <family val="2"/>
      </rPr>
      <t xml:space="preserve">
                  </t>
    </r>
    <r>
      <rPr>
        <b/>
        <sz val="11"/>
        <rFont val="Calibri"/>
        <family val="2"/>
        <scheme val="minor"/>
      </rPr>
      <t xml:space="preserve">Employer Survey -% Sent =    </t>
    </r>
    <r>
      <rPr>
        <sz val="11"/>
        <rFont val="Calibri"/>
        <family val="2"/>
        <scheme val="minor"/>
      </rPr>
      <t>No percentage for Employer Surveys Sent; however, an Analysis and Action Plan must be provided.</t>
    </r>
  </si>
  <si>
    <r>
      <t xml:space="preserve">Total Number of Graduate Surveys Received
    </t>
    </r>
    <r>
      <rPr>
        <b/>
        <sz val="12"/>
        <color theme="5" tint="-0.249977111117893"/>
        <rFont val="Calibri"/>
        <family val="2"/>
        <scheme val="minor"/>
      </rPr>
      <t>(answer required for this category)</t>
    </r>
  </si>
  <si>
    <t>Total Graduates in Reporting Year</t>
  </si>
  <si>
    <r>
      <rPr>
        <sz val="12"/>
        <rFont val="Calibri"/>
        <family val="2"/>
        <scheme val="minor"/>
      </rPr>
      <t>(For informational purposes only to check for accuracy)
Manually Calculate Graduate Survey % Sent Results:</t>
    </r>
    <r>
      <rPr>
        <sz val="12"/>
        <rFont val="Arial"/>
        <family val="2"/>
      </rPr>
      <t xml:space="preserve">
                  </t>
    </r>
    <r>
      <rPr>
        <b/>
        <sz val="11"/>
        <rFont val="Calibri"/>
        <family val="2"/>
        <scheme val="minor"/>
      </rPr>
      <t xml:space="preserve">Graduate Survey -% Sent =    </t>
    </r>
    <r>
      <rPr>
        <sz val="11"/>
        <rFont val="Calibri"/>
        <family val="2"/>
        <scheme val="minor"/>
      </rPr>
      <t>No percentage for Graduate Surveys Sent/Received; however, an Analysis and Action Plan must be provided.</t>
    </r>
  </si>
  <si>
    <r>
      <rPr>
        <b/>
        <sz val="12"/>
        <color theme="1"/>
        <rFont val="Calibri"/>
        <family val="2"/>
        <scheme val="minor"/>
      </rPr>
      <t>Total Number of Surveys Received from 
   Employers of Graduates</t>
    </r>
    <r>
      <rPr>
        <b/>
        <sz val="11"/>
        <color theme="1"/>
        <rFont val="Calibri"/>
        <family val="2"/>
        <scheme val="minor"/>
      </rPr>
      <t xml:space="preserve">
</t>
    </r>
    <r>
      <rPr>
        <b/>
        <sz val="9"/>
        <color rgb="FF0070C0"/>
        <rFont val="Calibri"/>
        <family val="2"/>
        <scheme val="minor"/>
      </rPr>
      <t xml:space="preserve">  </t>
    </r>
    <r>
      <rPr>
        <b/>
        <sz val="12"/>
        <color theme="5" tint="-0.249977111117893"/>
        <rFont val="Calibri"/>
        <family val="2"/>
        <scheme val="minor"/>
      </rPr>
      <t xml:space="preserve"> (answer required for this category)</t>
    </r>
  </si>
  <si>
    <t>National Registry / State Written 
Pass Rate Success</t>
  </si>
  <si>
    <r>
      <rPr>
        <sz val="12"/>
        <rFont val="Calibri"/>
        <family val="2"/>
        <scheme val="minor"/>
      </rPr>
      <t>(For informational purposes only to check for accuracy)
Manually Calculate NREMT/State Written Examination Results:</t>
    </r>
    <r>
      <rPr>
        <sz val="12"/>
        <rFont val="Arial"/>
        <family val="2"/>
      </rPr>
      <t xml:space="preserve">
                  </t>
    </r>
    <r>
      <rPr>
        <b/>
        <sz val="11"/>
        <rFont val="Calibri"/>
        <family val="2"/>
        <scheme val="minor"/>
      </rPr>
      <t xml:space="preserve">NREMT Pass Rate Success =         </t>
    </r>
    <r>
      <rPr>
        <u/>
        <sz val="11"/>
        <rFont val="Calibri"/>
        <family val="2"/>
        <scheme val="minor"/>
      </rPr>
      <t xml:space="preserve">                                 3rd attempt cumulative                                   </t>
    </r>
    <r>
      <rPr>
        <sz val="11"/>
        <rFont val="Calibri"/>
        <family val="2"/>
        <scheme val="minor"/>
      </rPr>
      <t xml:space="preserve">
                                                                                        # of total graduates attempting the written examination </t>
    </r>
  </si>
  <si>
    <t>*Number passing - 3rd attempt cumulative 
                                   pass rate</t>
  </si>
  <si>
    <t>*Number of Graduates continuing education or  
  serving in the military, but NOT employed</t>
  </si>
  <si>
    <t>The Positive (Job) Placement threshold set by the CoAEMSP is 70%.  Positive (Job) Placement means that the graduate is employed full or part-time or volunteers in the profession or in a related field; or is continuing his/her education; or is serving in the military.  A related field is one in which the individual is using cognitive, psychomotor, and affective competencies acquired in the Paramedic educational program.</t>
  </si>
  <si>
    <t>(hours)</t>
  </si>
  <si>
    <t>(months)</t>
  </si>
  <si>
    <t>Capstone Field Internship</t>
  </si>
  <si>
    <t>1)</t>
  </si>
  <si>
    <t>2)</t>
  </si>
  <si>
    <t>3)</t>
  </si>
  <si>
    <t>4)</t>
  </si>
  <si>
    <t xml:space="preserve">Clinical (in-hospital, clinics, etc.) </t>
  </si>
  <si>
    <t>On average, how many months are required  for on-time successful completion of the Paramedic educational program?</t>
  </si>
  <si>
    <t>Does the Paramedic educational program have a dedicated simulation director?</t>
  </si>
  <si>
    <t>5)</t>
  </si>
  <si>
    <t>6)</t>
  </si>
  <si>
    <t>Task trainers
(for example, IV arm, intubation head)</t>
  </si>
  <si>
    <t>Simple manikin
(for example, CPR manikin)</t>
  </si>
  <si>
    <t>Intermediate
(non-programmable manikin with 
multiple simulation tasks)</t>
  </si>
  <si>
    <t>Advanced manikin
(fully programmable)</t>
  </si>
  <si>
    <t>Virtual reality training</t>
  </si>
  <si>
    <t>7)</t>
  </si>
  <si>
    <t>$1 - $100,000</t>
  </si>
  <si>
    <t>$100,001 - $500,000</t>
  </si>
  <si>
    <t>$1,500,001 - $2,000,000</t>
  </si>
  <si>
    <t xml:space="preserve">Over $2,000,000 </t>
  </si>
  <si>
    <t>8)</t>
  </si>
  <si>
    <t>9)</t>
  </si>
  <si>
    <t>10)</t>
  </si>
  <si>
    <t>11)</t>
  </si>
  <si>
    <t>Total number of hours of instruction per student (didactic, lab, clinical, field experience, and capstone field internship, e.g. all phases of your Paramedic educational program)</t>
  </si>
  <si>
    <t>Total number of hours students are required to successfully complete prior to graduation in each environment?</t>
  </si>
  <si>
    <t>Field Experience
(not including Capstone)</t>
  </si>
  <si>
    <t>Total number of full-time educational faculty in the Paramedic educational program (including Program Director)?</t>
  </si>
  <si>
    <t>$500,001 - $1,000,000</t>
  </si>
  <si>
    <t>$1,000,001 - $1,500,000</t>
  </si>
  <si>
    <t>Prefer not to answer</t>
  </si>
  <si>
    <t>12)</t>
  </si>
  <si>
    <t>Cerificate/Diploma</t>
  </si>
  <si>
    <t>Associate Degree</t>
  </si>
  <si>
    <t>Baccalaureate Degree</t>
  </si>
  <si>
    <t>Master's Degree</t>
  </si>
  <si>
    <t>Which professional award(s) do graduates attain upon completion of the Paramedic educational program?     In addition, what percentage of students who graduate earn the award identified?</t>
  </si>
  <si>
    <t>Percentage of total graduates 
who received this award</t>
  </si>
  <si>
    <r>
      <t xml:space="preserve"> </t>
    </r>
    <r>
      <rPr>
        <sz val="14"/>
        <color theme="1"/>
        <rFont val="Calibri"/>
        <family val="2"/>
        <scheme val="minor"/>
      </rPr>
      <t>%</t>
    </r>
  </si>
  <si>
    <t>%  Total</t>
  </si>
  <si>
    <t xml:space="preserve">Which of the following simulation modalities does the Paramedic educational program use? </t>
  </si>
  <si>
    <t>Which of the following ranges most accurately reflects the Paramedic educational program’s annual operating budget?</t>
  </si>
  <si>
    <t>Did any other personnel associated with the Paramedic educational program attended a CAAHEP/CoAEMSP Accreditation Workshop in the last two (2) years?</t>
  </si>
  <si>
    <t>Prefer Not To Answer</t>
  </si>
  <si>
    <r>
      <rPr>
        <sz val="12"/>
        <rFont val="Calibri"/>
        <family val="2"/>
        <scheme val="minor"/>
      </rPr>
      <t>(For informational purposes only to check for accuracy)
Manually Calculate Positive (Job) Placement Results:</t>
    </r>
    <r>
      <rPr>
        <sz val="12"/>
        <rFont val="Arial"/>
        <family val="2"/>
      </rPr>
      <t xml:space="preserve">
                  </t>
    </r>
    <r>
      <rPr>
        <b/>
        <sz val="11"/>
        <rFont val="Calibri"/>
        <family val="2"/>
        <scheme val="minor"/>
      </rPr>
      <t xml:space="preserve">Positive (Job) Placement =    </t>
    </r>
    <r>
      <rPr>
        <u/>
        <sz val="11"/>
        <rFont val="Calibri"/>
        <family val="2"/>
        <scheme val="minor"/>
      </rPr>
      <t xml:space="preserve"> # of graduates employed + # of graduates continuing ed/serving in the military but NOT employed</t>
    </r>
    <r>
      <rPr>
        <sz val="11"/>
        <rFont val="Calibri"/>
        <family val="2"/>
        <scheme val="minor"/>
      </rPr>
      <t xml:space="preserve">
                                                                                                                                                Total Graduates</t>
    </r>
  </si>
  <si>
    <r>
      <rPr>
        <sz val="12"/>
        <rFont val="Calibri"/>
        <family val="2"/>
        <scheme val="minor"/>
      </rPr>
      <t>(For informational purposes only to check for accuracy)
Manually Calculate Attrition/Retention Results:</t>
    </r>
    <r>
      <rPr>
        <sz val="12"/>
        <rFont val="Arial"/>
        <family val="2"/>
      </rPr>
      <t xml:space="preserve">
                 </t>
    </r>
    <r>
      <rPr>
        <b/>
        <sz val="11"/>
        <color theme="1"/>
        <rFont val="Calibri"/>
        <family val="2"/>
        <scheme val="minor"/>
      </rPr>
      <t xml:space="preserve">Attrition =  </t>
    </r>
    <r>
      <rPr>
        <sz val="11"/>
        <color theme="1"/>
        <rFont val="Calibri"/>
        <family val="2"/>
        <scheme val="minor"/>
      </rPr>
      <t xml:space="preserve">  </t>
    </r>
    <r>
      <rPr>
        <u/>
        <sz val="11"/>
        <color theme="1"/>
        <rFont val="Calibri"/>
        <family val="2"/>
        <scheme val="minor"/>
      </rPr>
      <t xml:space="preserve"> Total # of Academic Reasons + Non-academic Reasons
</t>
    </r>
    <r>
      <rPr>
        <sz val="11"/>
        <color theme="1"/>
        <rFont val="Calibri"/>
        <family val="2"/>
        <scheme val="minor"/>
      </rPr>
      <t xml:space="preserve">                                                                           Total # of Students enrolled
                   </t>
    </r>
    <r>
      <rPr>
        <b/>
        <sz val="11"/>
        <color theme="1"/>
        <rFont val="Calibri"/>
        <family val="2"/>
        <scheme val="minor"/>
      </rPr>
      <t>Retention =</t>
    </r>
    <r>
      <rPr>
        <sz val="11"/>
        <color theme="1"/>
        <rFont val="Calibri"/>
        <family val="2"/>
        <scheme val="minor"/>
      </rPr>
      <t xml:space="preserve">     100% - Attrition</t>
    </r>
  </si>
  <si>
    <t xml:space="preserve">            Annual Report (Revised)</t>
  </si>
  <si>
    <t>Youngstown State University</t>
  </si>
  <si>
    <t>Youngstown</t>
  </si>
  <si>
    <t>OH</t>
  </si>
  <si>
    <t>Continuing Accreditation</t>
  </si>
  <si>
    <t>Yes</t>
  </si>
  <si>
    <t>https://ysu.edu/academics/bitonte-college-health-and-human-services/emergency-medical-services-associate</t>
  </si>
  <si>
    <t>End of Add/Drop</t>
  </si>
  <si>
    <t>No</t>
  </si>
  <si>
    <t xml:space="preserve">The program adheres to Youngstown State University's open enrollment policy.  </t>
  </si>
  <si>
    <t xml:space="preserve">Students are oriented to the required progression through the four semesters of the paramedic program when they begin. Students often require additional semesters and need to repeat clinical or field internship courses in order to meet the program requirements.  In some cases they finish with an extension allowing them to finish their outstanding clinical and field internship courses, and in other cases they are required to enroll and repeat the courses in order to complete the program.  All of the paramedic students are fully aware that they do not finish until they have met all of the program requirements.  We work with students with unexpected personal situations that may hinder their progression through the clinical and field internship courses.  In all cases, those with a desire to finish, do finish the program, and those who really loose interest are still attrition.  In this particular cohort, 2 of the 3 that are considered attrition for December of 2018 did finish the program requirements early in 2019.  </t>
  </si>
  <si>
    <t>N/A</t>
  </si>
  <si>
    <t>August</t>
  </si>
  <si>
    <t>December</t>
  </si>
  <si>
    <t xml:space="preserve">Attempted several times to send the ink to the new CoAEMSP survey link and the graduate was not able to access the survey.  Attempted to use the former program survey in Survey Monkey, and the student did respond and say they have access to the survey, but there is no information retained in survey monkey.  The graduate did try to work with the surveys, but the information was not communicated for the annueal report.   </t>
  </si>
  <si>
    <t>Continue to survey graduates and track them after program completion.</t>
  </si>
  <si>
    <t xml:space="preserve">Attempts were made to use the new CoAEMSP employer survey and the employer who was willing to submit a survey for the graduate was unalbe to open the document after several attempts.  The Survey Monkey link for the employer survey was sent to the employer, and the was no information retained regarding the graduate's performance through Survey Monkey.  </t>
  </si>
  <si>
    <t xml:space="preserve">Continue to solicit information from employers for graduates after they have been in the field for at least 6 months and try to use the easiest route possible for their convenience.  </t>
  </si>
  <si>
    <t>Susan Kearns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</si>
</sst>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
      <u/>
      <sz val="11"/>
      <color theme="10"/>
      <name val="Calibri"/>
      <family val="2"/>
      <scheme val="minor"/>
    </font>
    <font>
      <sz val="14"/>
      <color rgb="FF003080"/>
      <name val="Arial"/>
      <family val="2"/>
    </font>
    <font>
      <sz val="11"/>
      <color rgb="FF0070C0"/>
      <name val="Calibri"/>
      <family val="2"/>
      <scheme val="minor"/>
    </font>
    <font>
      <sz val="11"/>
      <color rgb="FF008000"/>
      <name val="Calibri"/>
      <family val="2"/>
      <scheme val="minor"/>
    </font>
    <font>
      <b/>
      <sz val="14"/>
      <color theme="7" tint="-0.499984740745262"/>
      <name val="Arial"/>
      <family val="2"/>
    </font>
    <font>
      <sz val="11"/>
      <color theme="6" tint="-0.499984740745262"/>
      <name val="Calibri"/>
      <family val="2"/>
      <scheme val="minor"/>
    </font>
    <font>
      <b/>
      <sz val="10"/>
      <color theme="1"/>
      <name val="Arial"/>
      <family val="2"/>
    </font>
    <font>
      <sz val="10"/>
      <name val="Arial"/>
      <family val="2"/>
    </font>
    <font>
      <sz val="10"/>
      <color indexed="53"/>
      <name val="Arial"/>
      <family val="2"/>
    </font>
    <font>
      <b/>
      <sz val="8"/>
      <color indexed="81"/>
      <name val="Tahoma"/>
      <family val="2"/>
    </font>
    <font>
      <b/>
      <sz val="10"/>
      <color rgb="FF008000"/>
      <name val="Arial"/>
      <family val="2"/>
    </font>
    <font>
      <b/>
      <sz val="11"/>
      <color rgb="FFC00000"/>
      <name val="Calibri"/>
      <family val="2"/>
      <scheme val="minor"/>
    </font>
    <font>
      <sz val="11"/>
      <color rgb="FF002060"/>
      <name val="Arial"/>
      <family val="2"/>
    </font>
    <font>
      <i/>
      <sz val="11"/>
      <color theme="6" tint="-0.499984740745262"/>
      <name val="Calibri"/>
      <family val="2"/>
      <scheme val="minor"/>
    </font>
    <font>
      <sz val="11"/>
      <name val="Arial"/>
      <family val="2"/>
    </font>
    <font>
      <sz val="11"/>
      <color rgb="FFFF0000"/>
      <name val="Calibri"/>
      <family val="2"/>
      <scheme val="minor"/>
    </font>
    <font>
      <b/>
      <sz val="36"/>
      <color theme="8"/>
      <name val="Calibri"/>
      <family val="2"/>
      <scheme val="minor"/>
    </font>
    <font>
      <b/>
      <sz val="14"/>
      <color rgb="FFC00000"/>
      <name val="Arial"/>
      <family val="2"/>
    </font>
    <font>
      <sz val="12"/>
      <name val="Arial"/>
      <family val="2"/>
    </font>
    <font>
      <b/>
      <sz val="12"/>
      <name val="Arial"/>
      <family val="2"/>
    </font>
    <font>
      <b/>
      <sz val="12"/>
      <color theme="1"/>
      <name val="Calibri"/>
      <family val="2"/>
      <scheme val="minor"/>
    </font>
    <font>
      <b/>
      <sz val="14"/>
      <name val="Calibri"/>
      <family val="2"/>
      <scheme val="minor"/>
    </font>
    <font>
      <b/>
      <sz val="14"/>
      <color theme="0"/>
      <name val="Calibri"/>
      <family val="2"/>
      <scheme val="minor"/>
    </font>
    <font>
      <u/>
      <sz val="14"/>
      <color theme="10"/>
      <name val="Calibri"/>
      <family val="2"/>
      <scheme val="minor"/>
    </font>
    <font>
      <u/>
      <sz val="11"/>
      <color theme="1"/>
      <name val="Calibri"/>
      <family val="2"/>
      <scheme val="minor"/>
    </font>
    <font>
      <b/>
      <sz val="18"/>
      <color theme="8"/>
      <name val="Arial"/>
      <family val="2"/>
    </font>
    <font>
      <b/>
      <sz val="14"/>
      <color theme="1"/>
      <name val="Calibri"/>
      <family val="2"/>
      <scheme val="minor"/>
    </font>
    <font>
      <b/>
      <sz val="18"/>
      <color theme="1"/>
      <name val="Calibri"/>
      <family val="2"/>
      <scheme val="minor"/>
    </font>
    <font>
      <b/>
      <sz val="11"/>
      <name val="Calibri"/>
      <family val="2"/>
      <scheme val="minor"/>
    </font>
    <font>
      <sz val="12"/>
      <name val="Calibri"/>
      <family val="2"/>
      <scheme val="minor"/>
    </font>
    <font>
      <u/>
      <sz val="11"/>
      <name val="Calibri"/>
      <family val="2"/>
      <scheme val="minor"/>
    </font>
    <font>
      <b/>
      <sz val="18"/>
      <color theme="7" tint="-0.499984740745262"/>
      <name val="Calibri"/>
      <family val="2"/>
      <scheme val="minor"/>
    </font>
    <font>
      <b/>
      <sz val="16"/>
      <color rgb="FFC00000"/>
      <name val="Calibri"/>
      <family val="2"/>
      <scheme val="minor"/>
    </font>
    <font>
      <b/>
      <sz val="22"/>
      <name val="Calibri"/>
      <family val="2"/>
      <scheme val="minor"/>
    </font>
    <font>
      <b/>
      <sz val="11"/>
      <color theme="9"/>
      <name val="Calibri"/>
      <family val="2"/>
      <scheme val="minor"/>
    </font>
    <font>
      <sz val="11"/>
      <color theme="8" tint="-0.249977111117893"/>
      <name val="Calibri"/>
      <family val="2"/>
      <scheme val="minor"/>
    </font>
    <font>
      <b/>
      <sz val="11"/>
      <color theme="9" tint="-0.249977111117893"/>
      <name val="Calibri"/>
      <family val="2"/>
      <scheme val="minor"/>
    </font>
    <font>
      <b/>
      <sz val="14"/>
      <color rgb="FF0070C0"/>
      <name val="Calibri"/>
      <family val="2"/>
      <scheme val="minor"/>
    </font>
    <font>
      <b/>
      <sz val="12"/>
      <color rgb="FF0070C0"/>
      <name val="Calibri"/>
      <family val="2"/>
      <scheme val="minor"/>
    </font>
    <font>
      <sz val="11"/>
      <color theme="0" tint="-0.34998626667073579"/>
      <name val="Calibri"/>
      <family val="2"/>
      <scheme val="minor"/>
    </font>
    <font>
      <sz val="10"/>
      <color rgb="FF0070C0"/>
      <name val="Calibri"/>
      <family val="2"/>
      <scheme val="minor"/>
    </font>
    <font>
      <i/>
      <sz val="11"/>
      <color theme="1"/>
      <name val="Calibri"/>
      <family val="2"/>
      <scheme val="minor"/>
    </font>
    <font>
      <sz val="11"/>
      <color theme="10"/>
      <name val="Calibri"/>
      <family val="2"/>
      <scheme val="minor"/>
    </font>
    <font>
      <b/>
      <sz val="11"/>
      <color rgb="FF0070C0"/>
      <name val="Calibri"/>
      <family val="2"/>
      <scheme val="minor"/>
    </font>
    <font>
      <b/>
      <sz val="9"/>
      <color rgb="FF0070C0"/>
      <name val="Calibri"/>
      <family val="2"/>
      <scheme val="minor"/>
    </font>
    <font>
      <b/>
      <sz val="22"/>
      <color theme="1"/>
      <name val="Calibri"/>
      <family val="2"/>
      <scheme val="minor"/>
    </font>
    <font>
      <b/>
      <sz val="22"/>
      <color rgb="FFC00000"/>
      <name val="Calibri"/>
      <family val="2"/>
      <scheme val="minor"/>
    </font>
    <font>
      <b/>
      <sz val="12"/>
      <color theme="5" tint="-0.249977111117893"/>
      <name val="Calibri"/>
      <family val="2"/>
      <scheme val="minor"/>
    </font>
    <font>
      <b/>
      <sz val="11"/>
      <color theme="5" tint="-0.249977111117893"/>
      <name val="Calibri"/>
      <family val="2"/>
      <scheme val="minor"/>
    </font>
    <font>
      <sz val="11"/>
      <color theme="5" tint="-0.249977111117893"/>
      <name val="Calibri"/>
      <family val="2"/>
      <scheme val="minor"/>
    </font>
    <font>
      <b/>
      <sz val="20"/>
      <color theme="1"/>
      <name val="Calibri"/>
      <family val="2"/>
      <scheme val="minor"/>
    </font>
    <font>
      <sz val="11"/>
      <color rgb="FFC00000"/>
      <name val="Calibri"/>
      <family val="2"/>
      <scheme val="minor"/>
    </font>
    <font>
      <sz val="9"/>
      <color indexed="81"/>
      <name val="Tahoma"/>
      <family val="2"/>
    </font>
    <font>
      <b/>
      <sz val="9"/>
      <color indexed="81"/>
      <name val="Tahoma"/>
      <family val="2"/>
    </font>
    <font>
      <b/>
      <sz val="11"/>
      <color theme="8" tint="-0.249977111117893"/>
      <name val="Calibri"/>
      <family val="2"/>
      <scheme val="minor"/>
    </font>
    <font>
      <sz val="14"/>
      <color rgb="FFC00000"/>
      <name val="Calibri"/>
      <family val="2"/>
      <scheme val="minor"/>
    </font>
    <font>
      <sz val="11"/>
      <color theme="0" tint="-0.499984740745262"/>
      <name val="Calibri"/>
      <family val="2"/>
      <scheme val="minor"/>
    </font>
    <font>
      <sz val="10"/>
      <color theme="0"/>
      <name val="Arial"/>
      <family val="2"/>
    </font>
    <font>
      <b/>
      <sz val="11"/>
      <color rgb="FFFF0000"/>
      <name val="Calibri"/>
      <family val="2"/>
      <scheme val="minor"/>
    </font>
    <font>
      <u/>
      <sz val="11"/>
      <color rgb="FF0070C0"/>
      <name val="Calibri"/>
      <family val="2"/>
      <scheme val="minor"/>
    </font>
    <font>
      <b/>
      <sz val="11"/>
      <color theme="0"/>
      <name val="Calibri"/>
      <family val="2"/>
      <scheme val="minor"/>
    </font>
    <font>
      <b/>
      <sz val="11"/>
      <color rgb="FF002060"/>
      <name val="Arial"/>
      <family val="2"/>
    </font>
    <font>
      <b/>
      <sz val="12"/>
      <name val="Calibri"/>
      <family val="2"/>
      <scheme val="minor"/>
    </font>
    <font>
      <i/>
      <sz val="11"/>
      <color rgb="FFFF0000"/>
      <name val="Calibri"/>
      <family val="2"/>
      <scheme val="minor"/>
    </font>
    <font>
      <b/>
      <sz val="16"/>
      <color rgb="FFFF0000"/>
      <name val="Calibri"/>
      <family val="2"/>
      <scheme val="minor"/>
    </font>
    <font>
      <sz val="12"/>
      <color rgb="FF0070C0"/>
      <name val="Calibri"/>
      <family val="2"/>
      <scheme val="minor"/>
    </font>
    <font>
      <sz val="14"/>
      <color theme="1"/>
      <name val="Calibri"/>
      <family val="2"/>
      <scheme val="minor"/>
    </font>
    <font>
      <b/>
      <sz val="12"/>
      <color rgb="FFC00000"/>
      <name val="Calibri"/>
      <family val="2"/>
      <scheme val="minor"/>
    </font>
  </fonts>
  <fills count="2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EFF6FB"/>
        <bgColor indexed="64"/>
      </patternFill>
    </fill>
    <fill>
      <patternFill patternType="solid">
        <fgColor indexed="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E4D2F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83E7F1"/>
        <bgColor indexed="64"/>
      </patternFill>
    </fill>
    <fill>
      <patternFill patternType="solid">
        <fgColor rgb="FFCFF5F9"/>
        <bgColor indexed="64"/>
      </patternFill>
    </fill>
    <fill>
      <patternFill patternType="solid">
        <fgColor rgb="FFDED8F8"/>
        <bgColor indexed="64"/>
      </patternFill>
    </fill>
    <fill>
      <patternFill patternType="solid">
        <fgColor rgb="FFB8ABEF"/>
        <bgColor indexed="64"/>
      </patternFill>
    </fill>
    <fill>
      <patternFill patternType="solid">
        <fgColor rgb="FFD6F7F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E1A7BD"/>
        <bgColor indexed="64"/>
      </patternFill>
    </fill>
    <fill>
      <patternFill patternType="solid">
        <fgColor rgb="FFF4E0E7"/>
        <bgColor indexed="64"/>
      </patternFill>
    </fill>
    <fill>
      <patternFill patternType="solid">
        <fgColor rgb="FFFFF0C5"/>
        <bgColor indexed="64"/>
      </patternFill>
    </fill>
    <fill>
      <patternFill patternType="solid">
        <fgColor rgb="FFD2F3F8"/>
        <bgColor indexed="64"/>
      </patternFill>
    </fill>
    <fill>
      <patternFill patternType="solid">
        <fgColor rgb="FFE6E6FA"/>
        <bgColor indexed="64"/>
      </patternFill>
    </fill>
    <fill>
      <patternFill patternType="solid">
        <fgColor rgb="FFABD8F7"/>
        <bgColor indexed="64"/>
      </patternFill>
    </fill>
    <fill>
      <patternFill patternType="solid">
        <fgColor rgb="FFDCEFFC"/>
        <bgColor indexed="64"/>
      </patternFill>
    </fill>
    <fill>
      <patternFill patternType="solid">
        <fgColor theme="9"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xf numFmtId="0" fontId="6" fillId="0" borderId="0" applyNumberFormat="0" applyFill="0" applyBorder="0" applyAlignment="0" applyProtection="0"/>
    <xf numFmtId="9" fontId="1" fillId="0" borderId="0" applyFont="0" applyFill="0" applyBorder="0" applyAlignment="0" applyProtection="0"/>
  </cellStyleXfs>
  <cellXfs count="639">
    <xf numFmtId="0" fontId="0" fillId="0" borderId="0" xfId="0"/>
    <xf numFmtId="0" fontId="7" fillId="0" borderId="0" xfId="0" applyFont="1" applyAlignment="1">
      <alignment horizontal="center"/>
    </xf>
    <xf numFmtId="0" fontId="0" fillId="0" borderId="0" xfId="0" quotePrefix="1"/>
    <xf numFmtId="0" fontId="3" fillId="0" borderId="0" xfId="0" applyFont="1"/>
    <xf numFmtId="0" fontId="5" fillId="0" borderId="0" xfId="0" applyFont="1" applyFill="1" applyBorder="1"/>
    <xf numFmtId="0" fontId="0" fillId="0" borderId="0" xfId="0" applyAlignment="1">
      <alignment horizontal="right"/>
    </xf>
    <xf numFmtId="0" fontId="0" fillId="0" borderId="0" xfId="0" applyAlignment="1">
      <alignment vertical="top"/>
    </xf>
    <xf numFmtId="0" fontId="0" fillId="0" borderId="0" xfId="0"/>
    <xf numFmtId="0" fontId="14" fillId="0" borderId="0" xfId="0" applyFont="1" applyFill="1" applyAlignment="1" applyProtection="1">
      <alignment horizontal="left" vertical="center" wrapText="1" indent="1"/>
    </xf>
    <xf numFmtId="0" fontId="13" fillId="5" borderId="1" xfId="0"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protection locked="0"/>
    </xf>
    <xf numFmtId="0" fontId="2" fillId="0" borderId="0" xfId="0" applyFont="1" applyAlignment="1">
      <alignment horizontal="center"/>
    </xf>
    <xf numFmtId="0" fontId="5" fillId="0" borderId="0" xfId="0" applyFont="1" applyAlignment="1">
      <alignment vertical="center"/>
    </xf>
    <xf numFmtId="0" fontId="0" fillId="0" borderId="0" xfId="0" quotePrefix="1" applyAlignment="1">
      <alignment vertical="center"/>
    </xf>
    <xf numFmtId="0" fontId="0" fillId="0" borderId="0" xfId="0"/>
    <xf numFmtId="0" fontId="0" fillId="0" borderId="0" xfId="0" applyAlignment="1">
      <alignment horizontal="center" vertical="center"/>
    </xf>
    <xf numFmtId="0" fontId="0" fillId="0" borderId="0" xfId="0" applyAlignment="1"/>
    <xf numFmtId="0" fontId="21" fillId="0" borderId="0" xfId="0" applyFont="1"/>
    <xf numFmtId="0" fontId="0" fillId="0" borderId="0" xfId="0" applyAlignment="1">
      <alignment vertical="center"/>
    </xf>
    <xf numFmtId="0" fontId="0" fillId="0" borderId="0" xfId="0"/>
    <xf numFmtId="0" fontId="9" fillId="0" borderId="0" xfId="0" applyFont="1"/>
    <xf numFmtId="0" fontId="0" fillId="0" borderId="0" xfId="0"/>
    <xf numFmtId="0" fontId="12" fillId="0" borderId="0" xfId="0" applyFont="1" applyAlignment="1">
      <alignment horizontal="center" vertical="center" wrapText="1"/>
    </xf>
    <xf numFmtId="0" fontId="12" fillId="0" borderId="0" xfId="0" applyFont="1" applyAlignment="1">
      <alignment horizontal="right" vertical="center"/>
    </xf>
    <xf numFmtId="0" fontId="19" fillId="0" borderId="0" xfId="0" applyFont="1" applyAlignment="1">
      <alignment vertical="center"/>
    </xf>
    <xf numFmtId="0" fontId="19" fillId="0" borderId="0" xfId="0" applyFont="1" applyAlignment="1">
      <alignment horizontal="center"/>
    </xf>
    <xf numFmtId="0" fontId="0" fillId="0" borderId="0" xfId="0"/>
    <xf numFmtId="0" fontId="19" fillId="0" borderId="0" xfId="0" applyFont="1"/>
    <xf numFmtId="0" fontId="0" fillId="0" borderId="0" xfId="0"/>
    <xf numFmtId="0" fontId="0" fillId="7" borderId="0" xfId="0" applyFill="1" applyAlignment="1">
      <alignment vertical="center"/>
    </xf>
    <xf numFmtId="0" fontId="2" fillId="12" borderId="1" xfId="0" applyFont="1" applyFill="1" applyBorder="1" applyAlignment="1">
      <alignment horizontal="center" vertical="center" wrapText="1"/>
    </xf>
    <xf numFmtId="0" fontId="2" fillId="12" borderId="1" xfId="0" applyFont="1" applyFill="1" applyBorder="1" applyAlignment="1">
      <alignment horizontal="center" wrapText="1"/>
    </xf>
    <xf numFmtId="0" fontId="2" fillId="8" borderId="14" xfId="0" applyFont="1" applyFill="1" applyBorder="1" applyAlignment="1">
      <alignment vertical="center"/>
    </xf>
    <xf numFmtId="14" fontId="0" fillId="0" borderId="13" xfId="0" applyNumberFormat="1" applyBorder="1" applyAlignment="1">
      <alignment horizontal="center" vertical="center"/>
    </xf>
    <xf numFmtId="0" fontId="31" fillId="7" borderId="0" xfId="0" applyFont="1" applyFill="1" applyAlignment="1">
      <alignment vertical="center"/>
    </xf>
    <xf numFmtId="14" fontId="0" fillId="0" borderId="2" xfId="0" applyNumberFormat="1" applyBorder="1" applyAlignment="1" applyProtection="1">
      <alignment horizontal="center" vertical="center"/>
    </xf>
    <xf numFmtId="0" fontId="2" fillId="13" borderId="1" xfId="0" applyFont="1" applyFill="1" applyBorder="1" applyAlignment="1">
      <alignment horizontal="center" vertical="center" wrapText="1"/>
    </xf>
    <xf numFmtId="0" fontId="10" fillId="13" borderId="11" xfId="0" applyFont="1" applyFill="1" applyBorder="1"/>
    <xf numFmtId="0" fontId="10" fillId="13" borderId="13" xfId="0" applyFont="1" applyFill="1" applyBorder="1"/>
    <xf numFmtId="0" fontId="32" fillId="0" borderId="4" xfId="0" applyFont="1" applyBorder="1" applyAlignment="1" applyProtection="1">
      <alignment horizontal="center" vertical="center"/>
    </xf>
    <xf numFmtId="0" fontId="10" fillId="10" borderId="11" xfId="0" applyFont="1" applyFill="1" applyBorder="1" applyAlignment="1">
      <alignment vertical="center"/>
    </xf>
    <xf numFmtId="0" fontId="10" fillId="10" borderId="13" xfId="0" applyFont="1" applyFill="1" applyBorder="1" applyAlignment="1">
      <alignment vertical="center"/>
    </xf>
    <xf numFmtId="0" fontId="10" fillId="16" borderId="10" xfId="0" applyFont="1" applyFill="1" applyBorder="1" applyAlignment="1">
      <alignment vertical="center"/>
    </xf>
    <xf numFmtId="0" fontId="10" fillId="16" borderId="11" xfId="0" applyFont="1" applyFill="1" applyBorder="1"/>
    <xf numFmtId="0" fontId="10" fillId="16" borderId="13" xfId="0" applyFont="1" applyFill="1" applyBorder="1"/>
    <xf numFmtId="0" fontId="2" fillId="16" borderId="1" xfId="0" applyFont="1" applyFill="1" applyBorder="1" applyAlignment="1">
      <alignment horizontal="center" vertical="center" wrapText="1"/>
    </xf>
    <xf numFmtId="0" fontId="0" fillId="0" borderId="0" xfId="0"/>
    <xf numFmtId="0" fontId="0" fillId="0" borderId="0" xfId="0" applyAlignment="1">
      <alignment vertical="center"/>
    </xf>
    <xf numFmtId="0" fontId="0" fillId="0" borderId="0" xfId="0"/>
    <xf numFmtId="0" fontId="37" fillId="10" borderId="10" xfId="0" applyFont="1" applyFill="1" applyBorder="1" applyAlignment="1">
      <alignment vertical="center"/>
    </xf>
    <xf numFmtId="0" fontId="37" fillId="13" borderId="10" xfId="0" applyFont="1" applyFill="1" applyBorder="1" applyAlignment="1">
      <alignment vertical="center"/>
    </xf>
    <xf numFmtId="0" fontId="2" fillId="8" borderId="3" xfId="0" applyFont="1" applyFill="1" applyBorder="1" applyAlignment="1">
      <alignment vertical="center"/>
    </xf>
    <xf numFmtId="0" fontId="0" fillId="0" borderId="0" xfId="0"/>
    <xf numFmtId="0" fontId="0" fillId="0" borderId="0" xfId="0"/>
    <xf numFmtId="0" fontId="17" fillId="0" borderId="0" xfId="0" applyFont="1"/>
    <xf numFmtId="0" fontId="0" fillId="0" borderId="0" xfId="0" quotePrefix="1" applyNumberFormat="1"/>
    <xf numFmtId="0" fontId="32" fillId="0" borderId="4" xfId="0" applyFont="1" applyBorder="1" applyAlignment="1">
      <alignment horizontal="center" vertical="center"/>
    </xf>
    <xf numFmtId="0" fontId="0" fillId="0" borderId="0" xfId="0"/>
    <xf numFmtId="0" fontId="22" fillId="7" borderId="0" xfId="0" applyFont="1" applyFill="1" applyAlignment="1">
      <alignment vertical="center"/>
    </xf>
    <xf numFmtId="0" fontId="10" fillId="19" borderId="10" xfId="0" applyFont="1" applyFill="1" applyBorder="1" applyAlignment="1">
      <alignment vertical="center"/>
    </xf>
    <xf numFmtId="0" fontId="10" fillId="19" borderId="11" xfId="0" applyFont="1" applyFill="1" applyBorder="1"/>
    <xf numFmtId="0" fontId="10" fillId="19" borderId="13" xfId="0" applyFont="1" applyFill="1" applyBorder="1"/>
    <xf numFmtId="0" fontId="0" fillId="0" borderId="0" xfId="0"/>
    <xf numFmtId="0" fontId="10" fillId="20" borderId="0" xfId="0" applyFont="1" applyFill="1"/>
    <xf numFmtId="0" fontId="0" fillId="20" borderId="0" xfId="0" applyFill="1"/>
    <xf numFmtId="0" fontId="11" fillId="20" borderId="0" xfId="0" applyFont="1" applyFill="1"/>
    <xf numFmtId="0" fontId="32" fillId="6" borderId="0" xfId="0" applyFont="1" applyFill="1" applyAlignment="1">
      <alignment vertical="center"/>
    </xf>
    <xf numFmtId="0" fontId="32" fillId="8" borderId="0" xfId="0" applyFont="1" applyFill="1" applyAlignment="1">
      <alignment vertical="center"/>
    </xf>
    <xf numFmtId="0" fontId="32" fillId="8" borderId="0" xfId="0" applyFont="1" applyFill="1" applyAlignment="1">
      <alignment vertical="center"/>
    </xf>
    <xf numFmtId="0" fontId="26" fillId="0" borderId="0" xfId="0" applyFont="1"/>
    <xf numFmtId="0" fontId="17" fillId="0" borderId="0" xfId="0" applyFont="1" applyAlignment="1">
      <alignment wrapText="1"/>
    </xf>
    <xf numFmtId="0" fontId="21" fillId="8" borderId="0" xfId="0" applyFont="1" applyFill="1"/>
    <xf numFmtId="0" fontId="2" fillId="8" borderId="3" xfId="0" applyFont="1" applyFill="1" applyBorder="1" applyAlignment="1">
      <alignment vertical="center"/>
    </xf>
    <xf numFmtId="0" fontId="2" fillId="8" borderId="0" xfId="0" applyFont="1" applyFill="1" applyBorder="1" applyAlignment="1">
      <alignment vertical="center"/>
    </xf>
    <xf numFmtId="0" fontId="0" fillId="0" borderId="0" xfId="0"/>
    <xf numFmtId="0" fontId="2" fillId="8" borderId="3" xfId="0" applyFont="1" applyFill="1" applyBorder="1" applyAlignment="1">
      <alignment vertical="center"/>
    </xf>
    <xf numFmtId="0" fontId="2" fillId="8" borderId="12" xfId="0" applyFont="1" applyFill="1" applyBorder="1" applyAlignment="1">
      <alignment vertical="center"/>
    </xf>
    <xf numFmtId="0" fontId="2" fillId="22" borderId="12" xfId="0" applyFont="1" applyFill="1" applyBorder="1" applyAlignment="1">
      <alignment vertical="center"/>
    </xf>
    <xf numFmtId="0" fontId="2" fillId="22" borderId="0" xfId="0" applyFont="1" applyFill="1" applyBorder="1" applyAlignment="1">
      <alignment vertical="center"/>
    </xf>
    <xf numFmtId="0" fontId="2" fillId="22" borderId="15" xfId="0" applyFont="1" applyFill="1" applyBorder="1" applyAlignment="1">
      <alignment vertical="center"/>
    </xf>
    <xf numFmtId="0" fontId="2" fillId="22" borderId="3" xfId="0" applyFont="1" applyFill="1" applyBorder="1" applyAlignment="1">
      <alignment vertical="center"/>
    </xf>
    <xf numFmtId="0" fontId="26" fillId="22" borderId="12" xfId="0" applyFont="1" applyFill="1" applyBorder="1" applyAlignment="1">
      <alignment horizontal="center" vertical="center"/>
    </xf>
    <xf numFmtId="14" fontId="0" fillId="8" borderId="15" xfId="0" applyNumberFormat="1" applyFill="1" applyBorder="1" applyAlignment="1" applyProtection="1">
      <alignment horizontal="center" vertical="center"/>
      <protection locked="0"/>
    </xf>
    <xf numFmtId="14" fontId="0" fillId="8" borderId="12" xfId="0" applyNumberFormat="1" applyFill="1" applyBorder="1" applyAlignment="1">
      <alignment horizontal="center" vertical="center"/>
    </xf>
    <xf numFmtId="0" fontId="0" fillId="0" borderId="0" xfId="0"/>
    <xf numFmtId="14" fontId="0" fillId="23" borderId="2" xfId="0" applyNumberFormat="1" applyFill="1" applyBorder="1" applyAlignment="1" applyProtection="1">
      <alignment horizontal="center" vertical="center"/>
    </xf>
    <xf numFmtId="14" fontId="0" fillId="23" borderId="13" xfId="0" applyNumberFormat="1" applyFill="1" applyBorder="1" applyAlignment="1">
      <alignment horizontal="center" vertical="center"/>
    </xf>
    <xf numFmtId="0" fontId="32" fillId="8" borderId="4" xfId="0" applyFont="1" applyFill="1" applyBorder="1" applyAlignment="1" applyProtection="1">
      <alignment horizontal="center" vertical="center"/>
    </xf>
    <xf numFmtId="0" fontId="41" fillId="22" borderId="12" xfId="0" applyFont="1" applyFill="1" applyBorder="1" applyAlignment="1">
      <alignment horizontal="center" vertical="center"/>
    </xf>
    <xf numFmtId="0" fontId="41" fillId="8" borderId="12" xfId="0" applyFont="1" applyFill="1" applyBorder="1" applyAlignment="1">
      <alignment horizontal="center" vertical="center"/>
    </xf>
    <xf numFmtId="0" fontId="41" fillId="8" borderId="15" xfId="0" applyFont="1" applyFill="1" applyBorder="1" applyAlignment="1">
      <alignment horizontal="center" vertical="center"/>
    </xf>
    <xf numFmtId="0" fontId="41" fillId="22" borderId="15" xfId="0" applyFont="1" applyFill="1" applyBorder="1" applyAlignment="1">
      <alignment horizontal="center" vertical="center"/>
    </xf>
    <xf numFmtId="0" fontId="34" fillId="8" borderId="4" xfId="0" applyFont="1" applyFill="1" applyBorder="1" applyAlignment="1" applyProtection="1">
      <alignment horizontal="center" vertical="center"/>
    </xf>
    <xf numFmtId="0" fontId="0" fillId="0" borderId="0" xfId="0" applyAlignment="1">
      <alignment vertical="center"/>
    </xf>
    <xf numFmtId="14" fontId="0" fillId="22" borderId="2" xfId="0" applyNumberFormat="1" applyFont="1" applyFill="1" applyBorder="1" applyAlignment="1" applyProtection="1">
      <alignment horizontal="center" vertical="center"/>
      <protection locked="0"/>
    </xf>
    <xf numFmtId="0" fontId="2" fillId="24" borderId="12" xfId="0" applyFont="1" applyFill="1" applyBorder="1" applyAlignment="1">
      <alignment vertical="center"/>
    </xf>
    <xf numFmtId="14" fontId="0" fillId="24" borderId="15" xfId="0" applyNumberFormat="1" applyFill="1" applyBorder="1" applyAlignment="1" applyProtection="1">
      <alignment horizontal="center" vertical="center"/>
    </xf>
    <xf numFmtId="14" fontId="0" fillId="24" borderId="12" xfId="0" applyNumberFormat="1" applyFill="1" applyBorder="1" applyAlignment="1">
      <alignment horizontal="center" vertical="center"/>
    </xf>
    <xf numFmtId="0" fontId="2" fillId="24" borderId="3" xfId="0" applyFont="1" applyFill="1" applyBorder="1" applyAlignment="1">
      <alignment vertical="center"/>
    </xf>
    <xf numFmtId="0" fontId="2" fillId="24" borderId="0" xfId="0" applyFont="1" applyFill="1" applyBorder="1" applyAlignment="1">
      <alignment vertical="center"/>
    </xf>
    <xf numFmtId="0" fontId="0" fillId="0" borderId="0" xfId="0"/>
    <xf numFmtId="0" fontId="2" fillId="0" borderId="0" xfId="0" applyFont="1" applyAlignment="1">
      <alignment wrapText="1"/>
    </xf>
    <xf numFmtId="0" fontId="12" fillId="0" borderId="0" xfId="0" applyFont="1" applyAlignment="1">
      <alignment horizontal="right" vertical="center" wrapText="1"/>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horizontal="center"/>
    </xf>
    <xf numFmtId="0" fontId="17" fillId="0" borderId="0" xfId="0" applyFont="1" applyAlignment="1">
      <alignment vertical="top" wrapText="1"/>
    </xf>
    <xf numFmtId="0" fontId="2" fillId="0" borderId="0" xfId="0" applyFont="1" applyAlignment="1">
      <alignment vertical="top" wrapText="1"/>
    </xf>
    <xf numFmtId="0" fontId="32" fillId="8" borderId="0" xfId="0" applyFont="1" applyFill="1" applyAlignment="1">
      <alignment vertical="center"/>
    </xf>
    <xf numFmtId="0" fontId="0" fillId="0" borderId="0" xfId="0"/>
    <xf numFmtId="0" fontId="2" fillId="8" borderId="3" xfId="0" applyFont="1" applyFill="1" applyBorder="1" applyAlignment="1">
      <alignment vertical="center"/>
    </xf>
    <xf numFmtId="0" fontId="32" fillId="8" borderId="0" xfId="0" applyFont="1" applyFill="1" applyBorder="1" applyAlignment="1">
      <alignment vertical="center"/>
    </xf>
    <xf numFmtId="0" fontId="2" fillId="0" borderId="0" xfId="0" applyFont="1" applyAlignment="1">
      <alignment horizontal="center"/>
    </xf>
    <xf numFmtId="0" fontId="2" fillId="0" borderId="0" xfId="0" applyFont="1" applyAlignment="1">
      <alignment horizontal="center" vertical="center"/>
    </xf>
    <xf numFmtId="0" fontId="17" fillId="0" borderId="0" xfId="0" applyFont="1" applyAlignment="1">
      <alignment vertical="top"/>
    </xf>
    <xf numFmtId="0" fontId="0" fillId="0" borderId="0" xfId="0"/>
    <xf numFmtId="0" fontId="37" fillId="25" borderId="10" xfId="0" applyFont="1" applyFill="1" applyBorder="1" applyAlignment="1">
      <alignment vertical="center"/>
    </xf>
    <xf numFmtId="0" fontId="10" fillId="25" borderId="11" xfId="0" applyFont="1" applyFill="1" applyBorder="1"/>
    <xf numFmtId="0" fontId="10" fillId="25" borderId="13" xfId="0" applyFont="1" applyFill="1" applyBorder="1"/>
    <xf numFmtId="0" fontId="2" fillId="25" borderId="1" xfId="0" applyFont="1" applyFill="1" applyBorder="1" applyAlignment="1">
      <alignment horizontal="center" vertical="center" wrapText="1"/>
    </xf>
    <xf numFmtId="14" fontId="0" fillId="26" borderId="2" xfId="0" applyNumberFormat="1" applyFill="1" applyBorder="1" applyAlignment="1" applyProtection="1">
      <alignment horizontal="center" vertical="center"/>
    </xf>
    <xf numFmtId="14" fontId="0" fillId="26" borderId="13" xfId="0" applyNumberFormat="1" applyFill="1" applyBorder="1" applyAlignment="1">
      <alignment horizontal="center" vertical="center"/>
    </xf>
    <xf numFmtId="0" fontId="32" fillId="0" borderId="0" xfId="0" applyFont="1" applyBorder="1" applyAlignment="1" applyProtection="1">
      <alignment vertical="center"/>
      <protection locked="0"/>
    </xf>
    <xf numFmtId="0" fontId="0" fillId="0" borderId="0" xfId="0"/>
    <xf numFmtId="0" fontId="40" fillId="0" borderId="0" xfId="0" applyFont="1" applyAlignment="1">
      <alignment wrapText="1"/>
    </xf>
    <xf numFmtId="0" fontId="16" fillId="0" borderId="0" xfId="0" applyFont="1" applyFill="1" applyBorder="1" applyAlignment="1" applyProtection="1">
      <alignment vertical="center" wrapText="1"/>
    </xf>
    <xf numFmtId="0" fontId="27" fillId="8" borderId="0" xfId="0" applyFont="1" applyFill="1" applyBorder="1" applyAlignment="1" applyProtection="1">
      <alignment vertical="center"/>
      <protection locked="0"/>
    </xf>
    <xf numFmtId="0" fontId="42" fillId="0" borderId="0" xfId="0" applyFont="1" applyAlignment="1">
      <alignment wrapText="1"/>
    </xf>
    <xf numFmtId="0" fontId="0" fillId="0" borderId="16" xfId="0" applyBorder="1" applyAlignment="1" applyProtection="1">
      <alignment horizontal="center" vertical="center"/>
      <protection locked="0"/>
    </xf>
    <xf numFmtId="0" fontId="32" fillId="0" borderId="19" xfId="0" applyFont="1" applyBorder="1" applyAlignment="1">
      <alignment horizontal="center" vertical="center"/>
    </xf>
    <xf numFmtId="0" fontId="0" fillId="0" borderId="0" xfId="0"/>
    <xf numFmtId="0" fontId="0" fillId="0" borderId="0" xfId="0"/>
    <xf numFmtId="0" fontId="43" fillId="4" borderId="1" xfId="0" applyFont="1" applyFill="1" applyBorder="1" applyAlignment="1" applyProtection="1">
      <alignment horizontal="center" vertical="center"/>
      <protection locked="0"/>
    </xf>
    <xf numFmtId="0" fontId="0" fillId="0" borderId="0" xfId="0"/>
    <xf numFmtId="0" fontId="8" fillId="0" borderId="0" xfId="0" applyFont="1" applyAlignment="1" applyProtection="1">
      <alignment vertical="top"/>
      <protection locked="0"/>
    </xf>
    <xf numFmtId="0" fontId="2" fillId="0" borderId="0" xfId="0" applyFont="1" applyAlignment="1">
      <alignment vertical="center" wrapText="1"/>
    </xf>
    <xf numFmtId="0" fontId="2" fillId="0" borderId="0" xfId="0" applyFont="1" applyAlignment="1">
      <alignment wrapText="1"/>
    </xf>
    <xf numFmtId="0" fontId="0" fillId="0" borderId="0" xfId="0" applyAlignment="1" applyProtection="1">
      <alignment vertical="top"/>
      <protection locked="0"/>
    </xf>
    <xf numFmtId="0" fontId="0" fillId="0" borderId="0" xfId="0" applyAlignment="1" applyProtection="1">
      <alignment vertical="top" wrapText="1"/>
      <protection locked="0"/>
    </xf>
    <xf numFmtId="0" fontId="34" fillId="0" borderId="0" xfId="0" applyFont="1" applyAlignment="1">
      <alignment vertical="center" wrapText="1"/>
    </xf>
    <xf numFmtId="0" fontId="2" fillId="0" borderId="0" xfId="0" applyFont="1" applyAlignment="1">
      <alignment vertical="center"/>
    </xf>
    <xf numFmtId="0" fontId="2" fillId="0" borderId="0" xfId="0" applyFont="1" applyAlignment="1"/>
    <xf numFmtId="0" fontId="0" fillId="0" borderId="0" xfId="0"/>
    <xf numFmtId="0" fontId="45" fillId="8" borderId="0" xfId="0" applyFont="1" applyFill="1" applyAlignment="1">
      <alignment vertical="center"/>
    </xf>
    <xf numFmtId="0" fontId="45" fillId="0" borderId="0" xfId="0" applyFont="1" applyAlignment="1">
      <alignment vertical="center"/>
    </xf>
    <xf numFmtId="0" fontId="8" fillId="8" borderId="0" xfId="0" applyFont="1" applyFill="1" applyBorder="1" applyAlignment="1" applyProtection="1">
      <alignment horizontal="center" vertical="center"/>
      <protection locked="0"/>
    </xf>
    <xf numFmtId="9" fontId="17" fillId="8" borderId="0" xfId="0" applyNumberFormat="1" applyFont="1" applyFill="1" applyBorder="1" applyAlignment="1" applyProtection="1">
      <alignment horizontal="center" vertical="center"/>
      <protection locked="0"/>
    </xf>
    <xf numFmtId="0" fontId="0" fillId="8" borderId="0" xfId="0" applyFill="1" applyBorder="1" applyAlignment="1">
      <alignment horizontal="center" vertical="center" wrapText="1"/>
    </xf>
    <xf numFmtId="1" fontId="8" fillId="8" borderId="0" xfId="0" applyNumberFormat="1" applyFont="1" applyFill="1" applyBorder="1" applyAlignment="1" applyProtection="1">
      <alignment horizontal="center" vertical="center"/>
      <protection locked="0"/>
    </xf>
    <xf numFmtId="1" fontId="8" fillId="8" borderId="0" xfId="0" applyNumberFormat="1" applyFont="1" applyFill="1" applyBorder="1" applyProtection="1">
      <protection locked="0"/>
    </xf>
    <xf numFmtId="0" fontId="8" fillId="8" borderId="0" xfId="0" applyFont="1" applyFill="1" applyBorder="1" applyAlignment="1" applyProtection="1">
      <alignment horizontal="left" vertical="center"/>
      <protection locked="0"/>
    </xf>
    <xf numFmtId="0" fontId="8" fillId="0" borderId="0" xfId="0" applyFont="1" applyAlignment="1" applyProtection="1">
      <alignment vertical="top"/>
      <protection locked="0"/>
    </xf>
    <xf numFmtId="0" fontId="8" fillId="4" borderId="1" xfId="0" applyFont="1" applyFill="1" applyBorder="1" applyAlignment="1" applyProtection="1">
      <alignment horizontal="center" vertical="center" wrapText="1"/>
      <protection locked="0"/>
    </xf>
    <xf numFmtId="0" fontId="2" fillId="0" borderId="0" xfId="0" applyFont="1"/>
    <xf numFmtId="0" fontId="0" fillId="0" borderId="0" xfId="0"/>
    <xf numFmtId="0" fontId="0" fillId="0" borderId="0" xfId="0" applyAlignment="1" applyProtection="1">
      <alignment vertical="center" wrapText="1"/>
      <protection locked="0"/>
    </xf>
    <xf numFmtId="0" fontId="19" fillId="0" borderId="0" xfId="0" applyFont="1" applyAlignment="1"/>
    <xf numFmtId="0" fontId="2" fillId="8" borderId="0" xfId="0" applyFont="1" applyFill="1" applyBorder="1" applyAlignment="1">
      <alignment vertical="center"/>
    </xf>
    <xf numFmtId="0" fontId="0" fillId="0" borderId="0" xfId="0"/>
    <xf numFmtId="0" fontId="2" fillId="8" borderId="3" xfId="0" applyFont="1" applyFill="1" applyBorder="1" applyAlignment="1">
      <alignment vertical="center"/>
    </xf>
    <xf numFmtId="0" fontId="10" fillId="27" borderId="10" xfId="0" applyFont="1" applyFill="1" applyBorder="1" applyAlignment="1">
      <alignment vertical="center"/>
    </xf>
    <xf numFmtId="0" fontId="10" fillId="27" borderId="11" xfId="0" applyFont="1" applyFill="1" applyBorder="1"/>
    <xf numFmtId="0" fontId="10" fillId="27" borderId="13" xfId="0" applyFont="1" applyFill="1" applyBorder="1"/>
    <xf numFmtId="0" fontId="2" fillId="27" borderId="1" xfId="0" applyFont="1" applyFill="1" applyBorder="1" applyAlignment="1">
      <alignment horizontal="center" vertical="center" wrapText="1"/>
    </xf>
    <xf numFmtId="0" fontId="2" fillId="3" borderId="12" xfId="0" applyFont="1" applyFill="1" applyBorder="1" applyAlignment="1">
      <alignment vertical="center"/>
    </xf>
    <xf numFmtId="14" fontId="0" fillId="3" borderId="15" xfId="0" applyNumberFormat="1" applyFill="1" applyBorder="1" applyAlignment="1" applyProtection="1">
      <alignment horizontal="center" vertical="center"/>
    </xf>
    <xf numFmtId="14" fontId="0" fillId="3" borderId="12" xfId="0" applyNumberFormat="1" applyFill="1" applyBorder="1" applyAlignment="1">
      <alignment horizontal="center" vertical="center"/>
    </xf>
    <xf numFmtId="0" fontId="0" fillId="27" borderId="20" xfId="0" applyFill="1" applyBorder="1" applyAlignment="1" applyProtection="1">
      <alignment horizontal="center" vertical="center"/>
    </xf>
    <xf numFmtId="0" fontId="2" fillId="3" borderId="3" xfId="0" applyFont="1" applyFill="1" applyBorder="1" applyAlignment="1">
      <alignment vertical="center"/>
    </xf>
    <xf numFmtId="0" fontId="2" fillId="3" borderId="0" xfId="0" applyFont="1" applyFill="1" applyBorder="1" applyAlignment="1">
      <alignment vertical="center"/>
    </xf>
    <xf numFmtId="0" fontId="0" fillId="0" borderId="0" xfId="0"/>
    <xf numFmtId="0" fontId="43" fillId="4" borderId="1" xfId="0" applyFont="1" applyFill="1" applyBorder="1" applyAlignment="1" applyProtection="1">
      <alignment horizontal="left" vertical="center"/>
      <protection locked="0"/>
    </xf>
    <xf numFmtId="0" fontId="8" fillId="4" borderId="1" xfId="0" applyFont="1" applyFill="1" applyBorder="1" applyAlignment="1" applyProtection="1">
      <alignment horizontal="center" vertical="center"/>
      <protection locked="0"/>
    </xf>
    <xf numFmtId="0" fontId="2" fillId="16" borderId="20" xfId="0" applyFont="1" applyFill="1" applyBorder="1" applyAlignment="1">
      <alignment horizontal="center" vertical="center" wrapText="1"/>
    </xf>
    <xf numFmtId="0" fontId="48" fillId="0" borderId="0" xfId="1" applyFont="1" applyAlignment="1" applyProtection="1">
      <alignment vertical="center" wrapText="1"/>
      <protection locked="0"/>
    </xf>
    <xf numFmtId="0" fontId="2" fillId="22" borderId="0" xfId="0" applyFont="1" applyFill="1" applyBorder="1" applyAlignment="1">
      <alignment vertical="center"/>
    </xf>
    <xf numFmtId="0" fontId="2" fillId="8" borderId="12" xfId="0" applyFont="1" applyFill="1" applyBorder="1" applyAlignment="1">
      <alignment vertical="center"/>
    </xf>
    <xf numFmtId="0" fontId="2" fillId="22" borderId="4" xfId="0" applyFont="1" applyFill="1" applyBorder="1" applyAlignment="1" applyProtection="1">
      <alignment horizontal="center" vertical="center"/>
      <protection locked="0"/>
    </xf>
    <xf numFmtId="0" fontId="2" fillId="22" borderId="14" xfId="0" applyFont="1" applyFill="1" applyBorder="1" applyAlignment="1" applyProtection="1">
      <alignment horizontal="center" vertical="center"/>
      <protection locked="0"/>
    </xf>
    <xf numFmtId="0" fontId="26" fillId="22" borderId="14" xfId="0" applyFont="1" applyFill="1" applyBorder="1" applyAlignment="1">
      <alignment horizontal="center" vertical="center"/>
    </xf>
    <xf numFmtId="0" fontId="2" fillId="22" borderId="14" xfId="0" applyFont="1" applyFill="1" applyBorder="1" applyAlignment="1">
      <alignment vertical="center"/>
    </xf>
    <xf numFmtId="0" fontId="49" fillId="8" borderId="0" xfId="0" applyFont="1" applyFill="1" applyBorder="1" applyAlignment="1">
      <alignment vertical="center"/>
    </xf>
    <xf numFmtId="14" fontId="0" fillId="0" borderId="4" xfId="0" applyNumberFormat="1" applyBorder="1" applyAlignment="1" applyProtection="1">
      <alignment horizontal="center" vertical="center"/>
    </xf>
    <xf numFmtId="14" fontId="0" fillId="0" borderId="14" xfId="0" applyNumberFormat="1" applyBorder="1" applyAlignment="1">
      <alignment horizontal="center" vertical="center"/>
    </xf>
    <xf numFmtId="0" fontId="2" fillId="23" borderId="0" xfId="0" applyFont="1" applyFill="1" applyBorder="1" applyAlignment="1" applyProtection="1">
      <alignment horizontal="center" vertical="center"/>
    </xf>
    <xf numFmtId="0" fontId="49" fillId="8" borderId="12" xfId="0" applyFont="1" applyFill="1" applyBorder="1" applyAlignment="1">
      <alignment vertical="center"/>
    </xf>
    <xf numFmtId="0" fontId="2" fillId="26" borderId="0" xfId="0" applyFont="1" applyFill="1" applyBorder="1" applyAlignment="1" applyProtection="1">
      <alignment horizontal="center" vertical="center"/>
    </xf>
    <xf numFmtId="0" fontId="2" fillId="26" borderId="5" xfId="0" applyFont="1" applyFill="1" applyBorder="1" applyAlignment="1">
      <alignment vertical="center"/>
    </xf>
    <xf numFmtId="0" fontId="49" fillId="24" borderId="0" xfId="0" applyFont="1" applyFill="1" applyBorder="1" applyAlignment="1">
      <alignment vertical="center"/>
    </xf>
    <xf numFmtId="0" fontId="0" fillId="24" borderId="0" xfId="0" applyFill="1" applyBorder="1" applyAlignment="1" applyProtection="1">
      <alignment horizontal="center" vertical="center"/>
    </xf>
    <xf numFmtId="0" fontId="8" fillId="0" borderId="15" xfId="0"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24" borderId="15" xfId="0" applyFont="1" applyFill="1" applyBorder="1" applyAlignment="1" applyProtection="1">
      <alignment horizontal="center" vertical="center"/>
      <protection locked="0"/>
    </xf>
    <xf numFmtId="0" fontId="8" fillId="24" borderId="12" xfId="0" applyFont="1" applyFill="1" applyBorder="1" applyAlignment="1">
      <alignment horizontal="center" vertical="center"/>
    </xf>
    <xf numFmtId="0" fontId="8" fillId="0" borderId="2" xfId="0" applyFont="1" applyBorder="1" applyAlignment="1" applyProtection="1">
      <alignment horizontal="center" vertical="center"/>
      <protection locked="0"/>
    </xf>
    <xf numFmtId="0" fontId="8" fillId="0" borderId="13" xfId="0" applyFont="1" applyBorder="1" applyAlignment="1">
      <alignment horizontal="center" vertical="center"/>
    </xf>
    <xf numFmtId="0" fontId="2" fillId="0" borderId="4" xfId="0" applyFont="1" applyBorder="1" applyAlignment="1" applyProtection="1">
      <alignment horizontal="center" vertical="center"/>
    </xf>
    <xf numFmtId="0" fontId="0" fillId="3" borderId="0" xfId="0" applyFill="1" applyBorder="1" applyAlignment="1" applyProtection="1">
      <alignment horizontal="center" vertical="center"/>
    </xf>
    <xf numFmtId="0" fontId="8" fillId="3" borderId="15" xfId="0" applyFont="1" applyFill="1" applyBorder="1" applyAlignment="1" applyProtection="1">
      <alignment horizontal="center" vertical="center"/>
      <protection locked="0"/>
    </xf>
    <xf numFmtId="0" fontId="8" fillId="3" borderId="12" xfId="0" applyFont="1" applyFill="1" applyBorder="1" applyAlignment="1">
      <alignment horizontal="center" vertical="center"/>
    </xf>
    <xf numFmtId="0" fontId="49" fillId="3" borderId="0" xfId="0" applyFont="1" applyFill="1" applyBorder="1" applyAlignment="1">
      <alignment vertical="center"/>
    </xf>
    <xf numFmtId="0" fontId="0" fillId="3" borderId="24"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24" borderId="9" xfId="0" applyFill="1" applyBorder="1" applyAlignment="1" applyProtection="1">
      <alignment horizontal="center" vertical="center"/>
    </xf>
    <xf numFmtId="0" fontId="0" fillId="24" borderId="24" xfId="0" applyFill="1" applyBorder="1" applyAlignment="1" applyProtection="1">
      <alignment horizontal="center" vertical="center"/>
    </xf>
    <xf numFmtId="0" fontId="32" fillId="26" borderId="9" xfId="0" applyFont="1" applyFill="1" applyBorder="1" applyAlignment="1" applyProtection="1">
      <alignment horizontal="center" vertical="center"/>
    </xf>
    <xf numFmtId="0" fontId="0" fillId="3" borderId="13" xfId="0" applyFill="1" applyBorder="1" applyAlignment="1" applyProtection="1">
      <alignment horizontal="center" vertical="center"/>
    </xf>
    <xf numFmtId="0" fontId="48" fillId="8" borderId="0" xfId="1" applyFont="1" applyFill="1" applyAlignment="1" applyProtection="1">
      <alignment vertical="center" wrapText="1"/>
      <protection locked="0"/>
    </xf>
    <xf numFmtId="0" fontId="10" fillId="27" borderId="0" xfId="0" applyFont="1" applyFill="1"/>
    <xf numFmtId="0" fontId="0" fillId="27" borderId="0" xfId="0" applyFill="1"/>
    <xf numFmtId="0" fontId="11" fillId="27" borderId="0" xfId="0" applyFont="1" applyFill="1"/>
    <xf numFmtId="0" fontId="10" fillId="11" borderId="0" xfId="0" applyFont="1" applyFill="1"/>
    <xf numFmtId="0" fontId="0" fillId="11" borderId="0" xfId="0" applyFill="1"/>
    <xf numFmtId="0" fontId="11" fillId="11" borderId="0" xfId="0" applyFont="1" applyFill="1"/>
    <xf numFmtId="0" fontId="0" fillId="8" borderId="0" xfId="0" applyFill="1"/>
    <xf numFmtId="0" fontId="54" fillId="22" borderId="0" xfId="0" applyFont="1" applyFill="1" applyBorder="1" applyAlignment="1">
      <alignment vertical="center"/>
    </xf>
    <xf numFmtId="0" fontId="54" fillId="8" borderId="0" xfId="0" applyFont="1" applyFill="1" applyBorder="1" applyAlignment="1">
      <alignment vertical="center"/>
    </xf>
    <xf numFmtId="0" fontId="26" fillId="8" borderId="4" xfId="0" applyFont="1" applyFill="1" applyBorder="1" applyAlignment="1">
      <alignment vertical="center"/>
    </xf>
    <xf numFmtId="0" fontId="55" fillId="22" borderId="2" xfId="0" applyFont="1" applyFill="1" applyBorder="1" applyAlignment="1" applyProtection="1">
      <alignment horizontal="center" vertical="center"/>
      <protection locked="0"/>
    </xf>
    <xf numFmtId="0" fontId="55" fillId="22" borderId="13" xfId="0" applyFont="1" applyFill="1" applyBorder="1" applyAlignment="1" applyProtection="1">
      <alignment horizontal="center" vertical="center"/>
      <protection locked="0"/>
    </xf>
    <xf numFmtId="0" fontId="55" fillId="8" borderId="12" xfId="0" applyFont="1" applyFill="1" applyBorder="1" applyAlignment="1" applyProtection="1">
      <alignment horizontal="center" vertical="center"/>
      <protection locked="0"/>
    </xf>
    <xf numFmtId="0" fontId="55" fillId="22" borderId="12" xfId="0" applyFont="1" applyFill="1" applyBorder="1" applyAlignment="1" applyProtection="1">
      <alignment horizontal="center" vertical="center"/>
      <protection locked="0"/>
    </xf>
    <xf numFmtId="0" fontId="55" fillId="8" borderId="2" xfId="0" applyFont="1" applyFill="1" applyBorder="1" applyAlignment="1" applyProtection="1">
      <alignment horizontal="center" vertical="center"/>
      <protection locked="0"/>
    </xf>
    <xf numFmtId="0" fontId="55" fillId="22" borderId="15" xfId="0" applyFont="1" applyFill="1" applyBorder="1" applyAlignment="1" applyProtection="1">
      <alignment horizontal="center" vertical="center"/>
      <protection locked="0"/>
    </xf>
    <xf numFmtId="0" fontId="55" fillId="8" borderId="15" xfId="0" applyFont="1" applyFill="1" applyBorder="1" applyAlignment="1" applyProtection="1">
      <alignment horizontal="center" vertical="center"/>
      <protection locked="0"/>
    </xf>
    <xf numFmtId="0" fontId="55" fillId="8" borderId="13" xfId="0" applyFont="1" applyFill="1" applyBorder="1" applyAlignment="1">
      <alignment horizontal="center" vertical="center"/>
    </xf>
    <xf numFmtId="0" fontId="55" fillId="26" borderId="4" xfId="0" applyFont="1" applyFill="1" applyBorder="1" applyAlignment="1" applyProtection="1">
      <alignment horizontal="center" vertical="center"/>
      <protection locked="0"/>
    </xf>
    <xf numFmtId="0" fontId="55" fillId="26" borderId="14" xfId="0" applyFont="1" applyFill="1" applyBorder="1" applyAlignment="1">
      <alignment horizontal="center" vertical="center"/>
    </xf>
    <xf numFmtId="0" fontId="55" fillId="24" borderId="1" xfId="0" applyFont="1" applyFill="1" applyBorder="1" applyAlignment="1" applyProtection="1">
      <alignment horizontal="center" vertical="center"/>
      <protection locked="0"/>
    </xf>
    <xf numFmtId="0" fontId="0" fillId="0" borderId="0" xfId="0"/>
    <xf numFmtId="0" fontId="17" fillId="0" borderId="0" xfId="0" applyFont="1" applyAlignment="1">
      <alignment vertical="center"/>
    </xf>
    <xf numFmtId="0" fontId="2" fillId="8" borderId="0" xfId="0" applyFont="1" applyFill="1" applyBorder="1" applyAlignment="1">
      <alignment horizontal="center" vertical="center" wrapText="1"/>
    </xf>
    <xf numFmtId="0" fontId="2" fillId="8" borderId="3" xfId="0" applyFont="1" applyFill="1" applyBorder="1" applyAlignment="1">
      <alignment vertical="center"/>
    </xf>
    <xf numFmtId="0" fontId="0" fillId="0" borderId="0" xfId="0"/>
    <xf numFmtId="0" fontId="41" fillId="22" borderId="13" xfId="0" applyFont="1" applyFill="1" applyBorder="1" applyAlignment="1">
      <alignment horizontal="center" vertical="center"/>
    </xf>
    <xf numFmtId="0" fontId="26" fillId="8" borderId="12" xfId="0" applyFont="1" applyFill="1" applyBorder="1" applyAlignment="1">
      <alignment horizontal="center" vertical="center"/>
    </xf>
    <xf numFmtId="0" fontId="41" fillId="22" borderId="2" xfId="0" applyFont="1" applyFill="1" applyBorder="1" applyAlignment="1">
      <alignment horizontal="center" vertical="center"/>
    </xf>
    <xf numFmtId="0" fontId="32" fillId="22" borderId="25" xfId="0" applyFont="1" applyFill="1" applyBorder="1" applyAlignment="1">
      <alignment vertical="center"/>
    </xf>
    <xf numFmtId="0" fontId="2" fillId="22" borderId="26" xfId="0" applyFont="1" applyFill="1" applyBorder="1" applyAlignment="1">
      <alignment vertical="center"/>
    </xf>
    <xf numFmtId="0" fontId="26" fillId="22" borderId="25" xfId="0" applyFont="1" applyFill="1" applyBorder="1" applyAlignment="1">
      <alignment horizontal="center" vertical="center"/>
    </xf>
    <xf numFmtId="0" fontId="0" fillId="0" borderId="0" xfId="0" quotePrefix="1" applyAlignment="1">
      <alignment vertical="top"/>
    </xf>
    <xf numFmtId="0" fontId="60" fillId="6" borderId="1" xfId="0" applyFont="1" applyFill="1" applyBorder="1" applyAlignment="1" applyProtection="1">
      <alignment horizontal="center" vertical="center" wrapText="1"/>
      <protection locked="0"/>
    </xf>
    <xf numFmtId="164" fontId="0" fillId="0" borderId="5" xfId="2" applyNumberFormat="1" applyFont="1" applyBorder="1" applyAlignment="1">
      <alignment horizontal="center" vertical="center"/>
    </xf>
    <xf numFmtId="164" fontId="32" fillId="0" borderId="14" xfId="2" applyNumberFormat="1" applyFont="1" applyBorder="1" applyAlignment="1">
      <alignment horizontal="center" vertical="center"/>
    </xf>
    <xf numFmtId="164" fontId="2" fillId="0" borderId="3" xfId="2" applyNumberFormat="1" applyFont="1" applyBorder="1" applyAlignment="1">
      <alignment horizontal="center" vertical="center"/>
    </xf>
    <xf numFmtId="164" fontId="2" fillId="0" borderId="1" xfId="2" applyNumberFormat="1" applyFont="1" applyBorder="1" applyAlignment="1">
      <alignment horizontal="center" vertical="center"/>
    </xf>
    <xf numFmtId="164" fontId="32" fillId="0" borderId="12" xfId="2" applyNumberFormat="1" applyFont="1" applyBorder="1" applyAlignment="1">
      <alignment horizontal="center" vertical="center"/>
    </xf>
    <xf numFmtId="164" fontId="2" fillId="0" borderId="5" xfId="2" applyNumberFormat="1" applyFont="1" applyBorder="1" applyAlignment="1">
      <alignment horizontal="center" vertical="center"/>
    </xf>
    <xf numFmtId="164" fontId="32" fillId="0" borderId="5" xfId="2" applyNumberFormat="1" applyFont="1" applyBorder="1" applyAlignment="1">
      <alignment horizontal="center" vertical="center"/>
    </xf>
    <xf numFmtId="164" fontId="32" fillId="0" borderId="1" xfId="2" applyNumberFormat="1" applyFont="1" applyBorder="1" applyAlignment="1">
      <alignment horizontal="center" vertical="center"/>
    </xf>
    <xf numFmtId="0" fontId="44" fillId="8" borderId="14" xfId="0" applyFont="1" applyFill="1" applyBorder="1" applyAlignment="1">
      <alignment horizontal="center" vertical="center"/>
    </xf>
    <xf numFmtId="0" fontId="44" fillId="22" borderId="9" xfId="0" applyFont="1" applyFill="1" applyBorder="1" applyAlignment="1">
      <alignment horizontal="center" vertical="center"/>
    </xf>
    <xf numFmtId="0" fontId="44" fillId="22" borderId="9" xfId="0" applyFont="1" applyFill="1" applyBorder="1" applyAlignment="1" applyProtection="1">
      <alignment horizontal="center" vertical="center"/>
    </xf>
    <xf numFmtId="0" fontId="49" fillId="8" borderId="14" xfId="0" applyFont="1" applyFill="1" applyBorder="1" applyAlignment="1">
      <alignment horizontal="center" vertical="center"/>
    </xf>
    <xf numFmtId="0" fontId="62" fillId="0" borderId="0" xfId="0" applyFont="1"/>
    <xf numFmtId="0" fontId="0" fillId="0" borderId="0" xfId="0"/>
    <xf numFmtId="0" fontId="2" fillId="0" borderId="0" xfId="0" applyFont="1"/>
    <xf numFmtId="0" fontId="0" fillId="0" borderId="0" xfId="0"/>
    <xf numFmtId="0" fontId="2" fillId="0" borderId="5" xfId="0" applyFont="1" applyBorder="1" applyAlignment="1" applyProtection="1">
      <alignment horizontal="center" vertical="center"/>
    </xf>
    <xf numFmtId="0" fontId="4" fillId="0" borderId="0" xfId="0" applyFont="1"/>
    <xf numFmtId="0" fontId="0" fillId="0" borderId="0" xfId="0" applyFont="1"/>
    <xf numFmtId="0" fontId="0" fillId="0" borderId="0" xfId="0"/>
    <xf numFmtId="0" fontId="21" fillId="0" borderId="0" xfId="0" applyFont="1" applyProtection="1">
      <protection locked="0"/>
    </xf>
    <xf numFmtId="0" fontId="21" fillId="0" borderId="0" xfId="0" applyFont="1" applyAlignment="1">
      <alignment vertical="center"/>
    </xf>
    <xf numFmtId="0" fontId="21" fillId="0" borderId="0" xfId="0" applyFont="1" applyFill="1" applyBorder="1"/>
    <xf numFmtId="0" fontId="64" fillId="0" borderId="0" xfId="0" applyFont="1" applyFill="1" applyBorder="1"/>
    <xf numFmtId="0" fontId="55" fillId="22" borderId="11" xfId="0" applyFont="1" applyFill="1" applyBorder="1" applyAlignment="1">
      <alignment horizontal="right" vertical="center"/>
    </xf>
    <xf numFmtId="0" fontId="55" fillId="8" borderId="12" xfId="0" applyFont="1" applyFill="1" applyBorder="1" applyAlignment="1">
      <alignment horizontal="right" vertical="center"/>
    </xf>
    <xf numFmtId="0" fontId="2" fillId="0" borderId="0" xfId="0" applyFont="1" applyAlignment="1">
      <alignment wrapText="1"/>
    </xf>
    <xf numFmtId="0" fontId="0" fillId="0" borderId="0" xfId="0" applyAlignment="1" applyProtection="1">
      <alignment vertical="top" wrapText="1"/>
      <protection locked="0"/>
    </xf>
    <xf numFmtId="0" fontId="0" fillId="0" borderId="0" xfId="0" applyAlignment="1" applyProtection="1">
      <alignment vertical="top"/>
      <protection locked="0"/>
    </xf>
    <xf numFmtId="0" fontId="34" fillId="0" borderId="0" xfId="0" applyFont="1" applyAlignment="1">
      <alignment vertical="center" wrapText="1"/>
    </xf>
    <xf numFmtId="0" fontId="0" fillId="0" borderId="0" xfId="0"/>
    <xf numFmtId="0" fontId="0" fillId="0" borderId="0" xfId="0" applyAlignment="1" applyProtection="1">
      <protection locked="0"/>
    </xf>
    <xf numFmtId="0" fontId="0" fillId="0" borderId="0" xfId="0" applyAlignment="1" applyProtection="1">
      <alignment vertical="center"/>
      <protection locked="0"/>
    </xf>
    <xf numFmtId="0" fontId="0" fillId="0" borderId="0" xfId="0" applyAlignment="1">
      <alignment wrapText="1"/>
    </xf>
    <xf numFmtId="0" fontId="64" fillId="0" borderId="0" xfId="0" applyFont="1" applyAlignment="1">
      <alignment horizontal="center" vertical="center"/>
    </xf>
    <xf numFmtId="0" fontId="3" fillId="0" borderId="0" xfId="0" applyFont="1" applyAlignment="1">
      <alignment horizontal="center" vertical="center"/>
    </xf>
    <xf numFmtId="0" fontId="0" fillId="0" borderId="0" xfId="0"/>
    <xf numFmtId="0" fontId="0" fillId="0" borderId="0" xfId="0"/>
    <xf numFmtId="0" fontId="56" fillId="8" borderId="0" xfId="0" applyFont="1" applyFill="1" applyBorder="1" applyAlignment="1">
      <alignment vertical="center" wrapText="1"/>
    </xf>
    <xf numFmtId="0" fontId="0" fillId="0" borderId="0" xfId="0"/>
    <xf numFmtId="0" fontId="47" fillId="0" borderId="0" xfId="0" applyFont="1" applyAlignment="1">
      <alignment vertical="center"/>
    </xf>
    <xf numFmtId="0" fontId="26" fillId="0" borderId="0" xfId="0" applyFont="1" applyAlignment="1">
      <alignment vertical="center" wrapText="1"/>
    </xf>
    <xf numFmtId="0" fontId="64" fillId="8" borderId="0" xfId="0" applyFont="1" applyFill="1" applyAlignment="1">
      <alignment horizontal="center" vertical="center"/>
    </xf>
    <xf numFmtId="0" fontId="4" fillId="0" borderId="0" xfId="0" applyFont="1" applyAlignment="1">
      <alignment horizontal="center" vertical="center"/>
    </xf>
    <xf numFmtId="0" fontId="34" fillId="0" borderId="0" xfId="0" applyFont="1" applyAlignment="1">
      <alignment horizontal="center"/>
    </xf>
    <xf numFmtId="0" fontId="34" fillId="0" borderId="0" xfId="0" applyFont="1" applyAlignment="1">
      <alignment vertical="center"/>
    </xf>
    <xf numFmtId="0" fontId="4" fillId="0" borderId="0" xfId="0" applyFont="1" applyAlignment="1">
      <alignment horizontal="right"/>
    </xf>
    <xf numFmtId="0" fontId="34" fillId="0" borderId="0" xfId="0" applyFont="1" applyAlignment="1">
      <alignment horizontal="center" vertical="center"/>
    </xf>
    <xf numFmtId="0" fontId="4" fillId="0" borderId="0" xfId="0" applyFont="1" applyAlignment="1">
      <alignment vertical="center"/>
    </xf>
    <xf numFmtId="0" fontId="34" fillId="0" borderId="0" xfId="0" applyFont="1" applyBorder="1" applyAlignment="1">
      <alignment horizontal="center"/>
    </xf>
    <xf numFmtId="0" fontId="34" fillId="0" borderId="0" xfId="0" applyFont="1"/>
    <xf numFmtId="0" fontId="4" fillId="8" borderId="0" xfId="0" applyFont="1" applyFill="1"/>
    <xf numFmtId="0" fontId="68" fillId="0" borderId="0" xfId="0" applyFont="1"/>
    <xf numFmtId="0" fontId="17" fillId="0" borderId="0" xfId="0" applyFont="1" applyAlignment="1">
      <alignment horizontal="center" vertical="center"/>
    </xf>
    <xf numFmtId="0" fontId="3" fillId="8" borderId="0" xfId="0" applyFont="1" applyFill="1" applyAlignment="1">
      <alignment horizontal="center" vertical="center"/>
    </xf>
    <xf numFmtId="0" fontId="66" fillId="0" borderId="0" xfId="0" applyFont="1" applyAlignment="1">
      <alignment vertical="center"/>
    </xf>
    <xf numFmtId="0" fontId="3" fillId="0" borderId="0" xfId="0" applyFont="1" applyAlignment="1">
      <alignment horizontal="right"/>
    </xf>
    <xf numFmtId="0" fontId="66" fillId="0" borderId="0" xfId="0" applyFont="1" applyAlignment="1">
      <alignment horizontal="center" vertical="center"/>
    </xf>
    <xf numFmtId="10" fontId="17" fillId="0" borderId="3" xfId="2" applyNumberFormat="1" applyFont="1" applyFill="1" applyBorder="1" applyAlignment="1">
      <alignment horizontal="center" vertical="center"/>
    </xf>
    <xf numFmtId="0" fontId="8" fillId="8" borderId="0" xfId="0" applyFont="1" applyFill="1" applyBorder="1" applyAlignment="1" applyProtection="1">
      <alignment horizontal="center" vertical="center"/>
    </xf>
    <xf numFmtId="10" fontId="17" fillId="0" borderId="0" xfId="2" applyNumberFormat="1" applyFont="1" applyFill="1" applyBorder="1" applyAlignment="1">
      <alignment horizontal="center" vertical="center"/>
    </xf>
    <xf numFmtId="0" fontId="34" fillId="0" borderId="0" xfId="0" applyFont="1" applyAlignment="1">
      <alignment horizontal="center" wrapText="1"/>
    </xf>
    <xf numFmtId="0" fontId="0" fillId="0" borderId="0" xfId="0"/>
    <xf numFmtId="0" fontId="54" fillId="22" borderId="4" xfId="0" applyFont="1" applyFill="1" applyBorder="1" applyAlignment="1">
      <alignment vertical="center"/>
    </xf>
    <xf numFmtId="0" fontId="2" fillId="8" borderId="3" xfId="0" applyFont="1" applyFill="1" applyBorder="1" applyAlignment="1">
      <alignment vertical="center"/>
    </xf>
    <xf numFmtId="0" fontId="0" fillId="0" borderId="0" xfId="0"/>
    <xf numFmtId="0" fontId="69" fillId="0" borderId="0" xfId="0" applyFont="1" applyAlignment="1"/>
    <xf numFmtId="0" fontId="32" fillId="0" borderId="0" xfId="0" applyFont="1" applyBorder="1" applyAlignment="1" applyProtection="1">
      <alignment horizontal="center" vertical="center"/>
      <protection locked="0"/>
    </xf>
    <xf numFmtId="0" fontId="48" fillId="0" borderId="0" xfId="1" applyFont="1" applyAlignment="1">
      <alignment wrapText="1"/>
    </xf>
    <xf numFmtId="0" fontId="0" fillId="0" borderId="0" xfId="0"/>
    <xf numFmtId="0" fontId="48" fillId="0" borderId="0" xfId="1" applyFont="1" applyAlignment="1" applyProtection="1">
      <alignment wrapText="1"/>
      <protection locked="0"/>
    </xf>
    <xf numFmtId="0" fontId="55" fillId="8" borderId="4" xfId="0" applyFont="1" applyFill="1" applyBorder="1" applyAlignment="1" applyProtection="1">
      <alignment horizontal="center" vertical="center"/>
      <protection locked="0"/>
    </xf>
    <xf numFmtId="0" fontId="55" fillId="8" borderId="14" xfId="0" applyFont="1" applyFill="1" applyBorder="1" applyAlignment="1">
      <alignment horizontal="center" vertical="center"/>
    </xf>
    <xf numFmtId="0" fontId="2" fillId="8" borderId="5" xfId="0" applyFont="1" applyFill="1" applyBorder="1" applyAlignment="1">
      <alignment vertical="center"/>
    </xf>
    <xf numFmtId="0" fontId="0" fillId="0" borderId="0" xfId="0"/>
    <xf numFmtId="0" fontId="2" fillId="0" borderId="0" xfId="0" applyFont="1"/>
    <xf numFmtId="0" fontId="2" fillId="23" borderId="3" xfId="0" applyFont="1" applyFill="1" applyBorder="1" applyAlignment="1">
      <alignment vertical="center"/>
    </xf>
    <xf numFmtId="0" fontId="55" fillId="23" borderId="2" xfId="0" applyFont="1" applyFill="1" applyBorder="1" applyAlignment="1" applyProtection="1">
      <alignment horizontal="center" vertical="center"/>
      <protection locked="0"/>
    </xf>
    <xf numFmtId="0" fontId="55" fillId="23" borderId="13" xfId="0" applyFont="1" applyFill="1" applyBorder="1" applyAlignment="1">
      <alignment horizontal="center" vertical="center"/>
    </xf>
    <xf numFmtId="0" fontId="0" fillId="0" borderId="0" xfId="0"/>
    <xf numFmtId="0" fontId="2" fillId="0" borderId="0" xfId="0" applyFont="1"/>
    <xf numFmtId="0" fontId="0" fillId="0" borderId="0" xfId="0"/>
    <xf numFmtId="0" fontId="0" fillId="0" borderId="0" xfId="0" applyAlignment="1">
      <alignment horizontal="left"/>
    </xf>
    <xf numFmtId="0" fontId="0" fillId="27" borderId="19" xfId="0" applyFill="1" applyBorder="1" applyAlignment="1" applyProtection="1">
      <alignment horizontal="center" vertical="center"/>
    </xf>
    <xf numFmtId="0" fontId="32" fillId="0" borderId="1" xfId="0" applyFont="1" applyBorder="1" applyAlignment="1">
      <alignment horizontal="center" vertical="center"/>
    </xf>
    <xf numFmtId="0" fontId="0" fillId="0" borderId="0" xfId="0"/>
    <xf numFmtId="0" fontId="55" fillId="0" borderId="16" xfId="0" applyFont="1" applyBorder="1" applyAlignment="1" applyProtection="1">
      <alignment horizontal="center" vertical="center"/>
      <protection locked="0"/>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wrapText="1"/>
    </xf>
    <xf numFmtId="0" fontId="0" fillId="0" borderId="0" xfId="0" applyAlignment="1" applyProtection="1">
      <alignment vertical="top" wrapText="1"/>
      <protection locked="0"/>
    </xf>
    <xf numFmtId="0" fontId="2" fillId="0" borderId="0" xfId="0" applyFont="1" applyAlignment="1"/>
    <xf numFmtId="0" fontId="2" fillId="0" borderId="0" xfId="0" applyFont="1" applyAlignment="1">
      <alignment vertical="center" wrapText="1"/>
    </xf>
    <xf numFmtId="0" fontId="34" fillId="0" borderId="0" xfId="0" applyFont="1" applyAlignment="1">
      <alignment vertical="center" wrapText="1"/>
    </xf>
    <xf numFmtId="0" fontId="34" fillId="0" borderId="0" xfId="0" applyFont="1" applyAlignment="1">
      <alignment horizontal="center"/>
    </xf>
    <xf numFmtId="0" fontId="6" fillId="0" borderId="0" xfId="1" quotePrefix="1" applyFill="1" applyBorder="1"/>
    <xf numFmtId="0" fontId="47" fillId="0" borderId="0" xfId="0" applyFont="1" applyAlignment="1">
      <alignment horizontal="left"/>
    </xf>
    <xf numFmtId="0" fontId="0" fillId="0" borderId="0" xfId="0"/>
    <xf numFmtId="0" fontId="47" fillId="0" borderId="0" xfId="0" applyFont="1" applyAlignment="1">
      <alignment horizontal="left" vertical="center"/>
    </xf>
    <xf numFmtId="0" fontId="21" fillId="0" borderId="0" xfId="0" applyFont="1" applyAlignment="1">
      <alignment horizontal="center" vertical="center"/>
    </xf>
    <xf numFmtId="0" fontId="2" fillId="3" borderId="5" xfId="0" applyFont="1" applyFill="1" applyBorder="1" applyAlignment="1" applyProtection="1">
      <alignment horizontal="center" vertical="center"/>
    </xf>
    <xf numFmtId="0" fontId="32" fillId="3" borderId="4" xfId="0" applyFont="1" applyFill="1" applyBorder="1" applyAlignment="1" applyProtection="1">
      <alignment horizontal="center" vertical="center"/>
    </xf>
    <xf numFmtId="0" fontId="55" fillId="8" borderId="1" xfId="0" applyFont="1" applyFill="1" applyBorder="1" applyAlignment="1" applyProtection="1">
      <alignment horizontal="center" vertical="center"/>
      <protection locked="0"/>
    </xf>
    <xf numFmtId="0" fontId="32" fillId="8" borderId="12" xfId="0" applyFont="1" applyFill="1" applyBorder="1" applyAlignment="1">
      <alignment horizontal="center" vertical="center"/>
    </xf>
    <xf numFmtId="0" fontId="0" fillId="0" borderId="0" xfId="0"/>
    <xf numFmtId="0" fontId="0" fillId="0" borderId="0" xfId="0" applyAlignment="1">
      <alignment vertical="center"/>
    </xf>
    <xf numFmtId="0" fontId="0" fillId="0" borderId="0" xfId="0"/>
    <xf numFmtId="0" fontId="2" fillId="0" borderId="11" xfId="0" applyFont="1" applyBorder="1" applyAlignment="1" applyProtection="1">
      <alignment horizontal="center" vertical="center"/>
    </xf>
    <xf numFmtId="0" fontId="32" fillId="0" borderId="13" xfId="0" applyFont="1" applyBorder="1" applyAlignment="1" applyProtection="1">
      <alignment horizontal="center" vertical="center"/>
    </xf>
    <xf numFmtId="0" fontId="32" fillId="24" borderId="13" xfId="0" applyFont="1" applyFill="1" applyBorder="1" applyAlignment="1">
      <alignment horizontal="center" vertical="center"/>
    </xf>
    <xf numFmtId="0" fontId="32" fillId="0" borderId="1" xfId="0" applyFont="1" applyBorder="1" applyAlignment="1" applyProtection="1">
      <alignment horizontal="center" vertical="center"/>
    </xf>
    <xf numFmtId="0" fontId="32" fillId="8" borderId="1" xfId="0" applyFont="1" applyFill="1" applyBorder="1" applyAlignment="1">
      <alignment horizontal="center" vertical="center"/>
    </xf>
    <xf numFmtId="0" fontId="57"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top"/>
    </xf>
    <xf numFmtId="0" fontId="66" fillId="0" borderId="0" xfId="0" applyFont="1" applyAlignment="1">
      <alignment wrapText="1"/>
    </xf>
    <xf numFmtId="0" fontId="66" fillId="0" borderId="0" xfId="0" applyFont="1" applyAlignment="1">
      <alignment horizontal="center" vertical="center" wrapText="1"/>
    </xf>
    <xf numFmtId="0" fontId="57" fillId="0" borderId="0" xfId="0" applyFont="1" applyAlignment="1" applyProtection="1">
      <alignment horizontal="center" vertical="center" wrapText="1"/>
    </xf>
    <xf numFmtId="0" fontId="57" fillId="0" borderId="0" xfId="0" applyFont="1" applyAlignment="1" applyProtection="1">
      <alignment horizontal="center" vertical="center"/>
    </xf>
    <xf numFmtId="0" fontId="17" fillId="0" borderId="0" xfId="0" applyFont="1" applyAlignment="1">
      <alignment horizontal="center" vertical="center" wrapText="1"/>
    </xf>
    <xf numFmtId="0" fontId="3" fillId="0" borderId="0" xfId="0" applyFont="1" applyAlignment="1">
      <alignment horizontal="center" vertical="center"/>
    </xf>
    <xf numFmtId="0" fontId="57" fillId="8" borderId="0" xfId="0" applyFont="1" applyFill="1" applyAlignment="1">
      <alignment horizontal="center" vertical="center"/>
    </xf>
    <xf numFmtId="0" fontId="57"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8" borderId="0" xfId="0" applyFont="1" applyFill="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0" fillId="0" borderId="0" xfId="0"/>
    <xf numFmtId="164" fontId="0" fillId="0" borderId="27" xfId="2" applyNumberFormat="1" applyFont="1" applyBorder="1" applyAlignment="1">
      <alignment horizontal="center" vertical="center"/>
    </xf>
    <xf numFmtId="0" fontId="3" fillId="0" borderId="0" xfId="0" applyFont="1" applyAlignment="1">
      <alignment horizontal="center" vertical="center"/>
    </xf>
    <xf numFmtId="0" fontId="57" fillId="0" borderId="0" xfId="0" applyFont="1" applyAlignment="1">
      <alignment horizontal="center" vertical="center"/>
    </xf>
    <xf numFmtId="0" fontId="0" fillId="0" borderId="0" xfId="0" applyAlignment="1">
      <alignment horizontal="left" vertical="center"/>
    </xf>
    <xf numFmtId="0" fontId="2" fillId="0" borderId="0" xfId="0" applyFont="1"/>
    <xf numFmtId="0" fontId="0" fillId="0" borderId="0" xfId="0"/>
    <xf numFmtId="0" fontId="0" fillId="0" borderId="0" xfId="0" quotePrefix="1" applyNumberFormat="1" applyAlignment="1">
      <alignment horizontal="center" vertical="center"/>
    </xf>
    <xf numFmtId="0" fontId="0" fillId="0" borderId="0" xfId="0" quotePrefix="1" applyNumberFormat="1" applyAlignment="1">
      <alignment horizontal="center" vertical="top"/>
    </xf>
    <xf numFmtId="1" fontId="8" fillId="4" borderId="1" xfId="0" applyNumberFormat="1" applyFont="1" applyFill="1" applyBorder="1" applyAlignment="1" applyProtection="1">
      <alignment horizontal="center" vertical="center" wrapText="1"/>
      <protection locked="0"/>
    </xf>
    <xf numFmtId="0" fontId="5" fillId="0" borderId="0" xfId="0" applyFont="1" applyAlignment="1">
      <alignment vertical="center" wrapText="1"/>
    </xf>
    <xf numFmtId="0" fontId="0" fillId="0" borderId="0" xfId="0" applyFill="1" applyBorder="1"/>
    <xf numFmtId="0" fontId="0" fillId="0" borderId="0" xfId="0" quotePrefix="1" applyNumberFormat="1" applyAlignment="1">
      <alignment horizontal="center"/>
    </xf>
    <xf numFmtId="0" fontId="0" fillId="0" borderId="0" xfId="0"/>
    <xf numFmtId="0" fontId="3" fillId="0" borderId="0" xfId="0" applyFont="1" applyAlignment="1">
      <alignment horizontal="center" vertical="center"/>
    </xf>
    <xf numFmtId="0" fontId="57" fillId="0" borderId="0" xfId="0" applyFont="1" applyAlignment="1">
      <alignment horizontal="center" vertical="center"/>
    </xf>
    <xf numFmtId="0" fontId="0" fillId="0" borderId="0" xfId="0" applyAlignment="1">
      <alignment horizontal="left" vertical="center"/>
    </xf>
    <xf numFmtId="0" fontId="0" fillId="0" borderId="0" xfId="0"/>
    <xf numFmtId="0" fontId="57" fillId="0" borderId="0" xfId="0" applyFont="1"/>
    <xf numFmtId="0" fontId="0" fillId="0" borderId="0" xfId="0" applyAlignment="1">
      <alignment vertical="center" wrapText="1"/>
    </xf>
    <xf numFmtId="1" fontId="71" fillId="4" borderId="1" xfId="0" applyNumberFormat="1" applyFont="1" applyFill="1" applyBorder="1" applyAlignment="1" applyProtection="1">
      <alignment horizontal="center" vertical="center" wrapText="1"/>
      <protection locked="0"/>
    </xf>
    <xf numFmtId="0" fontId="0" fillId="0" borderId="0" xfId="0" applyBorder="1" applyAlignment="1" applyProtection="1">
      <alignment vertical="center"/>
    </xf>
    <xf numFmtId="0" fontId="0" fillId="0" borderId="0" xfId="0" applyProtection="1"/>
    <xf numFmtId="1" fontId="43" fillId="0" borderId="0" xfId="0" applyNumberFormat="1" applyFont="1" applyAlignment="1" applyProtection="1">
      <alignment horizontal="center"/>
    </xf>
    <xf numFmtId="0" fontId="43" fillId="0" borderId="0" xfId="0" applyFont="1" applyAlignment="1" applyProtection="1">
      <alignment horizontal="center"/>
    </xf>
    <xf numFmtId="0" fontId="73" fillId="0" borderId="0" xfId="0" applyFont="1" applyAlignment="1">
      <alignment horizontal="left" vertical="center"/>
    </xf>
    <xf numFmtId="0" fontId="73" fillId="0" borderId="0" xfId="0" applyFont="1" applyAlignment="1">
      <alignment vertical="top"/>
    </xf>
    <xf numFmtId="14" fontId="8" fillId="4" borderId="4" xfId="0" applyNumberFormat="1" applyFont="1" applyFill="1" applyBorder="1" applyAlignment="1" applyProtection="1">
      <alignment horizontal="left" vertical="center"/>
      <protection locked="0"/>
    </xf>
    <xf numFmtId="0" fontId="55" fillId="0" borderId="5" xfId="0" applyFont="1" applyBorder="1" applyAlignment="1" applyProtection="1">
      <alignment horizontal="center" vertical="center"/>
      <protection locked="0"/>
    </xf>
    <xf numFmtId="0" fontId="8" fillId="8" borderId="0" xfId="0" applyFont="1" applyFill="1" applyBorder="1" applyAlignment="1" applyProtection="1">
      <alignment horizontal="left" vertical="center" wrapText="1"/>
      <protection locked="0"/>
    </xf>
    <xf numFmtId="0" fontId="46" fillId="0" borderId="0" xfId="0" applyFont="1" applyAlignment="1" applyProtection="1">
      <alignment vertical="top" wrapText="1"/>
      <protection locked="0"/>
    </xf>
    <xf numFmtId="0" fontId="0" fillId="8" borderId="0" xfId="0" applyFill="1" applyBorder="1" applyAlignment="1">
      <alignment horizontal="center" vertical="center"/>
    </xf>
    <xf numFmtId="0" fontId="5" fillId="0" borderId="0" xfId="0" applyFont="1" applyAlignment="1">
      <alignment horizontal="left" wrapText="1"/>
    </xf>
    <xf numFmtId="0" fontId="5" fillId="0" borderId="12" xfId="0" applyFont="1" applyBorder="1" applyAlignment="1">
      <alignment horizontal="left"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19" fillId="0" borderId="0" xfId="0" applyFont="1" applyAlignment="1">
      <alignment horizontal="left"/>
    </xf>
    <xf numFmtId="0" fontId="29" fillId="3" borderId="0" xfId="1" applyFont="1" applyFill="1" applyAlignment="1" applyProtection="1">
      <alignment horizontal="center" vertical="top" wrapText="1"/>
      <protection locked="0"/>
    </xf>
    <xf numFmtId="0" fontId="5" fillId="0" borderId="0" xfId="0" applyFont="1" applyBorder="1" applyAlignment="1">
      <alignment horizontal="left"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0" fontId="3" fillId="0" borderId="0" xfId="0" applyFont="1" applyAlignment="1">
      <alignment horizontal="center" vertical="center"/>
    </xf>
    <xf numFmtId="0" fontId="57" fillId="0" borderId="0" xfId="0" applyFont="1" applyAlignment="1">
      <alignment horizontal="center" vertical="center"/>
    </xf>
    <xf numFmtId="0" fontId="42" fillId="0" borderId="0" xfId="0" applyFont="1" applyAlignment="1">
      <alignment horizontal="right" wrapText="1"/>
    </xf>
    <xf numFmtId="0" fontId="8" fillId="0" borderId="0" xfId="0" applyFont="1" applyAlignment="1" applyProtection="1">
      <alignment vertical="top" wrapText="1"/>
      <protection locked="0"/>
    </xf>
    <xf numFmtId="0" fontId="24" fillId="3" borderId="0" xfId="0" applyFont="1" applyFill="1" applyAlignment="1">
      <alignment horizontal="justify" vertical="center" wrapText="1"/>
    </xf>
    <xf numFmtId="0" fontId="0" fillId="0" borderId="0" xfId="0" applyFont="1" applyBorder="1" applyAlignment="1">
      <alignment horizontal="center" vertical="center" wrapText="1"/>
    </xf>
    <xf numFmtId="0" fontId="2" fillId="3" borderId="5" xfId="0" applyFont="1" applyFill="1" applyBorder="1" applyAlignment="1">
      <alignment horizontal="justify" vertical="center" wrapText="1"/>
    </xf>
    <xf numFmtId="0" fontId="24" fillId="3" borderId="6" xfId="0" applyFont="1" applyFill="1" applyBorder="1" applyAlignment="1">
      <alignment horizontal="justify" vertical="center" wrapText="1"/>
    </xf>
    <xf numFmtId="0" fontId="24" fillId="3" borderId="14" xfId="0" applyFont="1" applyFill="1" applyBorder="1" applyAlignment="1">
      <alignment horizontal="justify" vertical="center" wrapText="1"/>
    </xf>
    <xf numFmtId="0" fontId="8" fillId="8" borderId="0" xfId="0" applyFont="1" applyFill="1" applyBorder="1" applyAlignment="1" applyProtection="1">
      <alignment horizontal="center" vertical="center"/>
      <protection locked="0"/>
    </xf>
    <xf numFmtId="0" fontId="57" fillId="0" borderId="0" xfId="0" applyFont="1" applyAlignment="1" applyProtection="1">
      <alignment horizontal="center" vertical="center"/>
    </xf>
    <xf numFmtId="0" fontId="26" fillId="26" borderId="3" xfId="0" applyFont="1" applyFill="1" applyBorder="1" applyAlignment="1">
      <alignment horizontal="left" vertical="center" wrapText="1"/>
    </xf>
    <xf numFmtId="0" fontId="2" fillId="26" borderId="0" xfId="0" applyFont="1" applyFill="1" applyBorder="1" applyAlignment="1">
      <alignment horizontal="left" vertical="center"/>
    </xf>
    <xf numFmtId="0" fontId="8" fillId="8" borderId="0" xfId="0" applyFont="1" applyFill="1" applyBorder="1" applyAlignment="1" applyProtection="1">
      <alignment horizontal="left" vertical="center"/>
      <protection locked="0"/>
    </xf>
    <xf numFmtId="0" fontId="52" fillId="8" borderId="0" xfId="0" applyFont="1" applyFill="1" applyAlignment="1">
      <alignment horizontal="center"/>
    </xf>
    <xf numFmtId="0" fontId="2" fillId="0" borderId="0" xfId="0" applyFont="1" applyAlignment="1" applyProtection="1">
      <alignment vertical="top" wrapText="1"/>
      <protection locked="0"/>
    </xf>
    <xf numFmtId="0" fontId="0" fillId="0" borderId="0" xfId="0"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51" fillId="0" borderId="0" xfId="0" applyFont="1" applyAlignment="1">
      <alignment horizontal="center" wrapText="1"/>
    </xf>
    <xf numFmtId="0" fontId="2" fillId="0" borderId="0" xfId="0" applyFont="1" applyAlignment="1">
      <alignment vertical="center" wrapText="1"/>
    </xf>
    <xf numFmtId="0" fontId="0" fillId="0" borderId="0" xfId="0" applyAlignment="1" applyProtection="1">
      <alignment vertical="top" wrapText="1"/>
      <protection locked="0"/>
    </xf>
    <xf numFmtId="0" fontId="2" fillId="15" borderId="5" xfId="0" applyFont="1" applyFill="1" applyBorder="1" applyAlignment="1">
      <alignment horizontal="justify" vertical="center" wrapText="1"/>
    </xf>
    <xf numFmtId="0" fontId="24" fillId="15" borderId="6" xfId="0" applyFont="1" applyFill="1" applyBorder="1" applyAlignment="1">
      <alignment horizontal="justify" vertical="center" wrapText="1"/>
    </xf>
    <xf numFmtId="0" fontId="24" fillId="15" borderId="14" xfId="0" applyFont="1" applyFill="1" applyBorder="1" applyAlignment="1">
      <alignment horizontal="justify" vertical="center" wrapText="1"/>
    </xf>
    <xf numFmtId="0" fontId="32" fillId="16" borderId="7" xfId="0" applyFont="1" applyFill="1" applyBorder="1" applyAlignment="1">
      <alignment horizontal="center" vertical="center" wrapText="1"/>
    </xf>
    <xf numFmtId="0" fontId="32" fillId="16" borderId="8" xfId="0" applyFont="1" applyFill="1" applyBorder="1" applyAlignment="1">
      <alignment horizontal="center" vertical="center" wrapText="1"/>
    </xf>
    <xf numFmtId="0" fontId="32" fillId="16" borderId="9" xfId="0" applyFont="1" applyFill="1" applyBorder="1" applyAlignment="1">
      <alignment horizontal="center" vertical="center" wrapText="1"/>
    </xf>
    <xf numFmtId="0" fontId="0" fillId="0" borderId="0" xfId="0" applyAlignment="1">
      <alignment horizontal="left" vertical="center"/>
    </xf>
    <xf numFmtId="0" fontId="47" fillId="0" borderId="0" xfId="0" applyFont="1" applyAlignment="1">
      <alignment horizontal="center"/>
    </xf>
    <xf numFmtId="0" fontId="47" fillId="0" borderId="0" xfId="0" applyFont="1"/>
    <xf numFmtId="0" fontId="2" fillId="8" borderId="10" xfId="0" applyFont="1" applyFill="1" applyBorder="1" applyAlignment="1">
      <alignment vertical="center"/>
    </xf>
    <xf numFmtId="0" fontId="2" fillId="8" borderId="11" xfId="0" applyFont="1" applyFill="1" applyBorder="1" applyAlignment="1">
      <alignment vertical="center"/>
    </xf>
    <xf numFmtId="0" fontId="2" fillId="8" borderId="13" xfId="0" applyFont="1" applyFill="1" applyBorder="1" applyAlignment="1">
      <alignment vertical="center"/>
    </xf>
    <xf numFmtId="0" fontId="26" fillId="8" borderId="0" xfId="0" applyFont="1" applyFill="1" applyAlignment="1">
      <alignment vertical="center" wrapText="1"/>
    </xf>
    <xf numFmtId="0" fontId="47" fillId="0" borderId="0" xfId="0" applyFont="1" applyAlignment="1">
      <alignment horizontal="left" vertical="center"/>
    </xf>
    <xf numFmtId="0" fontId="47" fillId="0" borderId="0" xfId="0" applyFont="1" applyAlignment="1">
      <alignment horizontal="left"/>
    </xf>
    <xf numFmtId="0" fontId="2" fillId="0" borderId="0" xfId="0" applyFont="1" applyAlignment="1">
      <alignment wrapText="1"/>
    </xf>
    <xf numFmtId="0" fontId="2" fillId="0" borderId="0" xfId="0" applyFont="1" applyAlignment="1">
      <alignment horizontal="left" vertical="top" wrapText="1"/>
    </xf>
    <xf numFmtId="0" fontId="0" fillId="0" borderId="0" xfId="0" applyAlignment="1" applyProtection="1">
      <alignment horizontal="center" vertical="center"/>
      <protection locked="0"/>
    </xf>
    <xf numFmtId="0" fontId="2" fillId="0" borderId="0" xfId="0" applyFont="1" applyAlignment="1">
      <alignment horizontal="center"/>
    </xf>
    <xf numFmtId="0" fontId="26" fillId="8" borderId="5" xfId="0" applyFont="1" applyFill="1" applyBorder="1" applyAlignment="1">
      <alignment vertical="center" wrapText="1"/>
    </xf>
    <xf numFmtId="0" fontId="26" fillId="8" borderId="6" xfId="0" applyFont="1" applyFill="1" applyBorder="1" applyAlignment="1">
      <alignment vertical="center" wrapText="1"/>
    </xf>
    <xf numFmtId="0" fontId="26" fillId="8" borderId="14" xfId="0" applyFont="1" applyFill="1" applyBorder="1" applyAlignment="1">
      <alignment vertical="center" wrapText="1"/>
    </xf>
    <xf numFmtId="0" fontId="2" fillId="0" borderId="0" xfId="0" applyFont="1" applyAlignment="1">
      <alignment horizontal="left" vertical="center" wrapText="1"/>
    </xf>
    <xf numFmtId="0" fontId="32" fillId="17" borderId="0" xfId="0" applyFont="1" applyFill="1" applyAlignment="1">
      <alignment horizontal="left" vertical="center" wrapText="1"/>
    </xf>
    <xf numFmtId="0" fontId="32" fillId="0" borderId="1" xfId="0" applyFont="1" applyBorder="1" applyAlignment="1" applyProtection="1">
      <alignment horizontal="center" vertical="center"/>
      <protection locked="0"/>
    </xf>
    <xf numFmtId="0" fontId="2" fillId="0" borderId="0" xfId="0" applyFont="1" applyAlignment="1">
      <alignment horizontal="left" wrapText="1"/>
    </xf>
    <xf numFmtId="0" fontId="33" fillId="8" borderId="5" xfId="0" applyFont="1" applyFill="1" applyBorder="1" applyAlignment="1">
      <alignment horizontal="left" vertical="center"/>
    </xf>
    <xf numFmtId="0" fontId="33" fillId="8" borderId="6" xfId="0" applyFont="1" applyFill="1" applyBorder="1" applyAlignment="1">
      <alignment horizontal="left" vertical="center"/>
    </xf>
    <xf numFmtId="0" fontId="2" fillId="8" borderId="10" xfId="0" applyFont="1" applyFill="1" applyBorder="1" applyAlignment="1">
      <alignment vertical="center" wrapText="1"/>
    </xf>
    <xf numFmtId="0" fontId="2" fillId="8" borderId="11" xfId="0" applyFont="1" applyFill="1" applyBorder="1" applyAlignment="1">
      <alignment vertical="center" wrapText="1"/>
    </xf>
    <xf numFmtId="0" fontId="33" fillId="8" borderId="10" xfId="0" applyFont="1" applyFill="1" applyBorder="1" applyAlignment="1">
      <alignment horizontal="left" vertical="center"/>
    </xf>
    <xf numFmtId="0" fontId="33" fillId="8" borderId="11" xfId="0" applyFont="1" applyFill="1" applyBorder="1" applyAlignment="1">
      <alignment horizontal="left" vertical="center"/>
    </xf>
    <xf numFmtId="0" fontId="33" fillId="8" borderId="13" xfId="0" applyFont="1" applyFill="1" applyBorder="1" applyAlignment="1">
      <alignment horizontal="left" vertical="center"/>
    </xf>
    <xf numFmtId="0" fontId="39" fillId="8" borderId="7" xfId="0" applyFont="1" applyFill="1" applyBorder="1" applyAlignment="1">
      <alignment horizontal="center" vertical="center" wrapText="1"/>
    </xf>
    <xf numFmtId="0" fontId="39" fillId="8" borderId="8" xfId="0" applyFont="1" applyFill="1" applyBorder="1" applyAlignment="1">
      <alignment horizontal="center" vertical="center" wrapText="1"/>
    </xf>
    <xf numFmtId="0" fontId="39" fillId="8" borderId="9" xfId="0" applyFont="1" applyFill="1" applyBorder="1" applyAlignment="1">
      <alignment horizontal="center" vertical="center" wrapText="1"/>
    </xf>
    <xf numFmtId="0" fontId="34" fillId="22" borderId="5" xfId="0" applyFont="1" applyFill="1" applyBorder="1" applyAlignment="1">
      <alignment horizontal="justify" vertical="center" wrapText="1"/>
    </xf>
    <xf numFmtId="0" fontId="34" fillId="22" borderId="6" xfId="0" applyFont="1" applyFill="1" applyBorder="1" applyAlignment="1">
      <alignment horizontal="justify" vertical="center" wrapText="1"/>
    </xf>
    <xf numFmtId="0" fontId="34" fillId="22" borderId="14" xfId="0" applyFont="1" applyFill="1" applyBorder="1" applyAlignment="1">
      <alignment horizontal="justify" vertical="center" wrapText="1"/>
    </xf>
    <xf numFmtId="0" fontId="2" fillId="0" borderId="0" xfId="0" applyFont="1" applyAlignment="1"/>
    <xf numFmtId="0" fontId="0" fillId="0" borderId="0" xfId="0" applyFont="1" applyAlignment="1" applyProtection="1">
      <alignment horizontal="center" vertical="center"/>
      <protection locked="0"/>
    </xf>
    <xf numFmtId="0" fontId="32" fillId="0" borderId="0" xfId="0" applyFont="1" applyBorder="1" applyAlignment="1" applyProtection="1">
      <alignment horizontal="center" vertical="center" wrapText="1"/>
      <protection locked="0"/>
    </xf>
    <xf numFmtId="0" fontId="32" fillId="0" borderId="0" xfId="0" applyFont="1" applyBorder="1" applyAlignment="1" applyProtection="1">
      <alignment horizontal="center" vertical="center"/>
      <protection locked="0"/>
    </xf>
    <xf numFmtId="0" fontId="32" fillId="12" borderId="7" xfId="0" applyFont="1" applyFill="1" applyBorder="1" applyAlignment="1">
      <alignment horizontal="center" vertical="center"/>
    </xf>
    <xf numFmtId="0" fontId="32" fillId="12" borderId="8" xfId="0" applyFont="1" applyFill="1" applyBorder="1" applyAlignment="1">
      <alignment horizontal="center" vertical="center"/>
    </xf>
    <xf numFmtId="0" fontId="32" fillId="12" borderId="13" xfId="0" applyFont="1" applyFill="1" applyBorder="1" applyAlignment="1">
      <alignment horizontal="center" vertical="center"/>
    </xf>
    <xf numFmtId="0" fontId="32" fillId="8" borderId="0" xfId="0" applyFont="1" applyFill="1" applyAlignment="1">
      <alignment vertical="center"/>
    </xf>
    <xf numFmtId="0" fontId="32" fillId="8" borderId="0" xfId="0" applyFont="1" applyFill="1" applyBorder="1" applyAlignment="1">
      <alignment vertical="center"/>
    </xf>
    <xf numFmtId="0" fontId="48" fillId="8" borderId="0" xfId="1" applyFont="1" applyFill="1" applyAlignment="1" applyProtection="1">
      <alignment vertical="center" wrapText="1"/>
      <protection locked="0"/>
    </xf>
    <xf numFmtId="0" fontId="32" fillId="6" borderId="0" xfId="0" applyFont="1" applyFill="1" applyAlignment="1">
      <alignment horizontal="left" vertical="center" wrapText="1"/>
    </xf>
    <xf numFmtId="0" fontId="32" fillId="6" borderId="12" xfId="0" applyFont="1" applyFill="1" applyBorder="1" applyAlignment="1">
      <alignment horizontal="left" vertical="center" wrapText="1"/>
    </xf>
    <xf numFmtId="0" fontId="2" fillId="8" borderId="5" xfId="0" applyFont="1" applyFill="1" applyBorder="1" applyAlignment="1">
      <alignment horizontal="left" vertical="center"/>
    </xf>
    <xf numFmtId="0" fontId="2" fillId="8" borderId="6" xfId="0" applyFont="1" applyFill="1" applyBorder="1" applyAlignment="1">
      <alignment horizontal="left" vertical="center"/>
    </xf>
    <xf numFmtId="0" fontId="2" fillId="8" borderId="14" xfId="0" applyFont="1" applyFill="1" applyBorder="1" applyAlignment="1">
      <alignment horizontal="left" vertical="center"/>
    </xf>
    <xf numFmtId="0" fontId="17" fillId="0" borderId="3" xfId="0" applyFont="1" applyBorder="1"/>
    <xf numFmtId="0" fontId="17" fillId="0" borderId="0" xfId="0" applyFont="1" applyBorder="1"/>
    <xf numFmtId="0" fontId="17" fillId="0" borderId="0" xfId="0" applyFont="1"/>
    <xf numFmtId="0" fontId="24" fillId="11" borderId="7" xfId="0" applyFont="1" applyFill="1" applyBorder="1" applyAlignment="1">
      <alignment horizontal="justify" vertical="center" wrapText="1"/>
    </xf>
    <xf numFmtId="0" fontId="24" fillId="11" borderId="8" xfId="0" applyFont="1" applyFill="1" applyBorder="1" applyAlignment="1">
      <alignment horizontal="justify" vertical="center" wrapText="1"/>
    </xf>
    <xf numFmtId="0" fontId="24" fillId="11" borderId="9" xfId="0" applyFont="1" applyFill="1" applyBorder="1" applyAlignment="1">
      <alignment horizontal="justify" vertical="center" wrapText="1"/>
    </xf>
    <xf numFmtId="0" fontId="2" fillId="22" borderId="0" xfId="0" applyFont="1" applyFill="1" applyAlignment="1">
      <alignment horizontal="center" vertical="center" wrapText="1"/>
    </xf>
    <xf numFmtId="0" fontId="0" fillId="22" borderId="0" xfId="0" applyFill="1" applyAlignment="1">
      <alignment horizontal="center" vertical="center" wrapText="1"/>
    </xf>
    <xf numFmtId="0" fontId="28"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Alignment="1" applyProtection="1">
      <alignment horizontal="center" vertical="center"/>
      <protection locked="0"/>
    </xf>
    <xf numFmtId="0" fontId="26" fillId="23" borderId="3" xfId="0" applyFont="1" applyFill="1" applyBorder="1" applyAlignment="1">
      <alignment horizontal="left" vertical="center" wrapText="1"/>
    </xf>
    <xf numFmtId="0" fontId="2" fillId="23" borderId="0" xfId="0" applyFont="1" applyFill="1" applyBorder="1" applyAlignment="1">
      <alignment horizontal="left" vertical="center"/>
    </xf>
    <xf numFmtId="0" fontId="32" fillId="8" borderId="7" xfId="0" applyFont="1" applyFill="1" applyBorder="1" applyAlignment="1">
      <alignment horizontal="center" vertical="center" wrapText="1"/>
    </xf>
    <xf numFmtId="0" fontId="32" fillId="8" borderId="8" xfId="0" applyFont="1" applyFill="1" applyBorder="1" applyAlignment="1">
      <alignment horizontal="center" vertical="center" wrapText="1"/>
    </xf>
    <xf numFmtId="0" fontId="32" fillId="8" borderId="9" xfId="0" applyFont="1" applyFill="1" applyBorder="1" applyAlignment="1">
      <alignment horizontal="center" vertical="center" wrapText="1"/>
    </xf>
    <xf numFmtId="0" fontId="2" fillId="23" borderId="10" xfId="0" applyFont="1" applyFill="1" applyBorder="1" applyAlignment="1">
      <alignment vertical="center"/>
    </xf>
    <xf numFmtId="0" fontId="2" fillId="23" borderId="11" xfId="0" applyFont="1" applyFill="1" applyBorder="1" applyAlignment="1">
      <alignment vertical="center"/>
    </xf>
    <xf numFmtId="0" fontId="2" fillId="23" borderId="13" xfId="0" applyFont="1" applyFill="1" applyBorder="1" applyAlignment="1">
      <alignment vertical="center"/>
    </xf>
    <xf numFmtId="0" fontId="2" fillId="8" borderId="5" xfId="0" applyFont="1" applyFill="1" applyBorder="1" applyAlignment="1">
      <alignment vertical="center"/>
    </xf>
    <xf numFmtId="0" fontId="2" fillId="8" borderId="6" xfId="0" applyFont="1" applyFill="1" applyBorder="1" applyAlignment="1">
      <alignment vertical="center"/>
    </xf>
    <xf numFmtId="0" fontId="38" fillId="0" borderId="0" xfId="0" applyFont="1" applyFill="1" applyBorder="1" applyAlignment="1">
      <alignment horizontal="center" vertical="center" wrapText="1"/>
    </xf>
    <xf numFmtId="0" fontId="34" fillId="14" borderId="5" xfId="0" applyFont="1" applyFill="1" applyBorder="1" applyAlignment="1">
      <alignment horizontal="justify" vertical="center" wrapText="1"/>
    </xf>
    <xf numFmtId="0" fontId="24" fillId="14" borderId="6" xfId="0" applyFont="1" applyFill="1" applyBorder="1" applyAlignment="1">
      <alignment horizontal="justify" vertical="center" wrapText="1"/>
    </xf>
    <xf numFmtId="0" fontId="24" fillId="14" borderId="14" xfId="0" applyFont="1" applyFill="1" applyBorder="1" applyAlignment="1">
      <alignment horizontal="justify" vertical="center" wrapText="1"/>
    </xf>
    <xf numFmtId="0" fontId="32" fillId="13" borderId="7" xfId="0" applyFont="1" applyFill="1" applyBorder="1" applyAlignment="1">
      <alignment horizontal="center" vertical="center" wrapText="1"/>
    </xf>
    <xf numFmtId="0" fontId="32" fillId="13" borderId="8" xfId="0" applyFont="1" applyFill="1" applyBorder="1" applyAlignment="1">
      <alignment horizontal="center" vertical="center" wrapText="1"/>
    </xf>
    <xf numFmtId="0" fontId="32" fillId="13" borderId="9" xfId="0" applyFont="1" applyFill="1" applyBorder="1" applyAlignment="1">
      <alignment horizontal="center" vertical="center" wrapText="1"/>
    </xf>
    <xf numFmtId="0" fontId="54" fillId="23" borderId="0" xfId="0" applyFont="1" applyFill="1" applyBorder="1" applyAlignment="1">
      <alignment horizontal="left" vertical="center" wrapText="1"/>
    </xf>
    <xf numFmtId="0" fontId="54" fillId="23" borderId="12" xfId="0" applyFont="1" applyFill="1" applyBorder="1" applyAlignment="1">
      <alignment horizontal="left" vertical="center" wrapText="1"/>
    </xf>
    <xf numFmtId="0" fontId="54" fillId="8" borderId="6" xfId="0" applyFont="1" applyFill="1" applyBorder="1" applyAlignment="1">
      <alignment vertical="center" wrapText="1"/>
    </xf>
    <xf numFmtId="0" fontId="54" fillId="8" borderId="14" xfId="0" applyFont="1" applyFill="1" applyBorder="1" applyAlignment="1">
      <alignment vertical="center" wrapText="1"/>
    </xf>
    <xf numFmtId="0" fontId="2" fillId="8" borderId="3" xfId="0" applyFont="1" applyFill="1" applyBorder="1" applyAlignment="1">
      <alignment vertical="center"/>
    </xf>
    <xf numFmtId="0" fontId="2" fillId="8" borderId="0" xfId="0" applyFont="1" applyFill="1" applyBorder="1" applyAlignment="1">
      <alignment vertical="center"/>
    </xf>
    <xf numFmtId="0" fontId="32" fillId="22" borderId="7" xfId="0" applyFont="1" applyFill="1" applyBorder="1" applyAlignment="1">
      <alignment vertical="center" wrapText="1"/>
    </xf>
    <xf numFmtId="0" fontId="32" fillId="22" borderId="8" xfId="0" applyFont="1" applyFill="1" applyBorder="1" applyAlignment="1">
      <alignment vertical="center" wrapText="1"/>
    </xf>
    <xf numFmtId="0" fontId="32" fillId="22" borderId="9" xfId="0" applyFont="1" applyFill="1" applyBorder="1" applyAlignment="1">
      <alignment vertical="center" wrapText="1"/>
    </xf>
    <xf numFmtId="0" fontId="38" fillId="0" borderId="0" xfId="0" applyFont="1" applyFill="1" applyBorder="1" applyAlignment="1">
      <alignment horizontal="center" vertical="center"/>
    </xf>
    <xf numFmtId="0" fontId="2" fillId="24" borderId="3" xfId="0" applyFont="1" applyFill="1" applyBorder="1" applyAlignment="1">
      <alignment vertical="center" wrapText="1"/>
    </xf>
    <xf numFmtId="0" fontId="2" fillId="24" borderId="0" xfId="0" applyFont="1" applyFill="1" applyBorder="1" applyAlignment="1">
      <alignment vertical="center"/>
    </xf>
    <xf numFmtId="0" fontId="2" fillId="24" borderId="3" xfId="0" applyFont="1" applyFill="1" applyBorder="1" applyAlignment="1">
      <alignment vertical="center"/>
    </xf>
    <xf numFmtId="0" fontId="7" fillId="7" borderId="0" xfId="0" applyFont="1" applyFill="1" applyAlignment="1">
      <alignment horizontal="center" vertical="center" wrapText="1"/>
    </xf>
    <xf numFmtId="0" fontId="67" fillId="2" borderId="0" xfId="0" applyFont="1" applyFill="1" applyAlignment="1">
      <alignment horizontal="justify" vertical="center" wrapText="1"/>
    </xf>
    <xf numFmtId="0" fontId="43" fillId="4" borderId="7" xfId="0" applyFont="1" applyFill="1" applyBorder="1" applyAlignment="1" applyProtection="1">
      <alignment horizontal="left" vertical="center"/>
      <protection locked="0"/>
    </xf>
    <xf numFmtId="0" fontId="43" fillId="4" borderId="8" xfId="0" applyFont="1" applyFill="1" applyBorder="1" applyAlignment="1" applyProtection="1">
      <alignment horizontal="left" vertical="center"/>
      <protection locked="0"/>
    </xf>
    <xf numFmtId="0" fontId="43" fillId="4" borderId="9" xfId="0" applyFont="1" applyFill="1" applyBorder="1" applyAlignment="1" applyProtection="1">
      <alignment horizontal="left" vertical="center"/>
      <protection locked="0"/>
    </xf>
    <xf numFmtId="0" fontId="2" fillId="0" borderId="3" xfId="0" applyFont="1" applyBorder="1" applyAlignment="1">
      <alignment horizontal="right" vertical="center"/>
    </xf>
    <xf numFmtId="0" fontId="2" fillId="0" borderId="12" xfId="0" applyFont="1" applyBorder="1" applyAlignment="1">
      <alignment horizontal="right" vertical="center"/>
    </xf>
    <xf numFmtId="0" fontId="63" fillId="0" borderId="0" xfId="0" applyFont="1" applyAlignment="1">
      <alignment horizontal="center"/>
    </xf>
    <xf numFmtId="0" fontId="32" fillId="12" borderId="0" xfId="0" applyFont="1" applyFill="1" applyAlignment="1">
      <alignment horizontal="center" vertical="center"/>
    </xf>
    <xf numFmtId="0" fontId="32" fillId="12" borderId="12" xfId="0" applyFont="1" applyFill="1" applyBorder="1" applyAlignment="1">
      <alignment horizontal="center" vertical="center"/>
    </xf>
    <xf numFmtId="0" fontId="32" fillId="0" borderId="7"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23" fillId="2" borderId="0" xfId="0" applyFont="1" applyFill="1" applyAlignment="1">
      <alignment horizontal="center" vertical="center" wrapText="1"/>
    </xf>
    <xf numFmtId="0" fontId="18" fillId="2" borderId="0" xfId="0" applyFont="1" applyFill="1" applyAlignment="1">
      <alignment horizontal="center" vertical="center" wrapText="1"/>
    </xf>
    <xf numFmtId="0" fontId="43" fillId="4" borderId="1" xfId="0" applyFont="1" applyFill="1" applyBorder="1" applyAlignment="1" applyProtection="1">
      <alignment horizontal="left" vertical="center"/>
      <protection locked="0"/>
    </xf>
    <xf numFmtId="0" fontId="0" fillId="22" borderId="0" xfId="0" applyFill="1" applyAlignment="1">
      <alignment vertical="center" wrapText="1"/>
    </xf>
    <xf numFmtId="0" fontId="16" fillId="0" borderId="3"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43" fillId="4" borderId="0" xfId="0" applyFont="1" applyFill="1" applyBorder="1" applyAlignment="1" applyProtection="1">
      <alignment horizontal="center" vertical="center"/>
      <protection locked="0"/>
    </xf>
    <xf numFmtId="0" fontId="20" fillId="9" borderId="0" xfId="0" applyFont="1" applyFill="1" applyAlignment="1">
      <alignment horizontal="right" vertical="center" wrapText="1"/>
    </xf>
    <xf numFmtId="0" fontId="6" fillId="9" borderId="0" xfId="1" applyFill="1" applyAlignment="1" applyProtection="1">
      <alignment horizontal="left" vertical="center" wrapText="1"/>
      <protection locked="0"/>
    </xf>
    <xf numFmtId="0" fontId="6" fillId="4" borderId="0" xfId="1" applyFill="1" applyBorder="1" applyAlignment="1" applyProtection="1">
      <alignment horizontal="left" vertical="center" wrapText="1"/>
      <protection locked="0"/>
    </xf>
    <xf numFmtId="0" fontId="65" fillId="4" borderId="0" xfId="1" applyFont="1" applyFill="1" applyBorder="1" applyAlignment="1" applyProtection="1">
      <alignment horizontal="left" vertical="center" wrapText="1"/>
      <protection locked="0"/>
    </xf>
    <xf numFmtId="0" fontId="26" fillId="0" borderId="0" xfId="0" applyFont="1" applyAlignment="1">
      <alignment horizontal="center" vertical="center" wrapText="1"/>
    </xf>
    <xf numFmtId="0" fontId="32" fillId="27" borderId="7" xfId="0" applyFont="1" applyFill="1" applyBorder="1" applyAlignment="1">
      <alignment horizontal="center" vertical="center" wrapText="1"/>
    </xf>
    <xf numFmtId="0" fontId="32" fillId="27" borderId="8" xfId="0" applyFont="1" applyFill="1" applyBorder="1" applyAlignment="1">
      <alignment horizontal="center" vertical="center" wrapText="1"/>
    </xf>
    <xf numFmtId="0" fontId="32" fillId="27" borderId="9"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0" xfId="0" applyFont="1" applyFill="1" applyBorder="1" applyAlignment="1">
      <alignment vertical="center"/>
    </xf>
    <xf numFmtId="0" fontId="2" fillId="26" borderId="10" xfId="0" applyFont="1" applyFill="1" applyBorder="1" applyAlignment="1">
      <alignment vertical="center"/>
    </xf>
    <xf numFmtId="0" fontId="2" fillId="26" borderId="11" xfId="0" applyFont="1" applyFill="1" applyBorder="1" applyAlignment="1">
      <alignment vertical="center"/>
    </xf>
    <xf numFmtId="0" fontId="2" fillId="26" borderId="13" xfId="0" applyFont="1" applyFill="1" applyBorder="1" applyAlignment="1">
      <alignment vertical="center"/>
    </xf>
    <xf numFmtId="0" fontId="54" fillId="26" borderId="6" xfId="0" applyFont="1" applyFill="1" applyBorder="1" applyAlignment="1">
      <alignment vertical="center" wrapText="1"/>
    </xf>
    <xf numFmtId="0" fontId="54" fillId="26" borderId="14" xfId="0" applyFont="1" applyFill="1" applyBorder="1" applyAlignment="1">
      <alignment vertical="center" wrapText="1"/>
    </xf>
    <xf numFmtId="0" fontId="2" fillId="8" borderId="17" xfId="0" applyFont="1" applyFill="1" applyBorder="1" applyAlignment="1">
      <alignment vertical="center" wrapText="1"/>
    </xf>
    <xf numFmtId="0" fontId="2" fillId="8" borderId="18" xfId="0" applyFont="1" applyFill="1" applyBorder="1" applyAlignment="1">
      <alignment vertical="center"/>
    </xf>
    <xf numFmtId="0" fontId="2" fillId="8" borderId="19" xfId="0" applyFont="1" applyFill="1" applyBorder="1" applyAlignment="1">
      <alignment vertical="center"/>
    </xf>
    <xf numFmtId="0" fontId="32" fillId="25" borderId="7" xfId="0" applyFont="1" applyFill="1" applyBorder="1" applyAlignment="1">
      <alignment horizontal="center" vertical="center" wrapText="1"/>
    </xf>
    <xf numFmtId="0" fontId="32" fillId="25" borderId="8" xfId="0" applyFont="1" applyFill="1" applyBorder="1" applyAlignment="1">
      <alignment horizontal="center" vertical="center" wrapText="1"/>
    </xf>
    <xf numFmtId="0" fontId="32" fillId="25" borderId="9" xfId="0" applyFont="1" applyFill="1" applyBorder="1" applyAlignment="1">
      <alignment horizontal="center" vertical="center" wrapText="1"/>
    </xf>
    <xf numFmtId="0" fontId="34" fillId="26" borderId="5" xfId="0" applyFont="1" applyFill="1" applyBorder="1" applyAlignment="1">
      <alignment horizontal="justify" vertical="center" wrapText="1"/>
    </xf>
    <xf numFmtId="0" fontId="24" fillId="26" borderId="6" xfId="0" applyFont="1" applyFill="1" applyBorder="1" applyAlignment="1">
      <alignment horizontal="justify" vertical="center" wrapText="1"/>
    </xf>
    <xf numFmtId="0" fontId="24" fillId="26" borderId="14" xfId="0" applyFont="1" applyFill="1" applyBorder="1" applyAlignment="1">
      <alignment horizontal="justify" vertical="center" wrapText="1"/>
    </xf>
    <xf numFmtId="0" fontId="2" fillId="16" borderId="21"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26" fillId="24" borderId="3" xfId="0" applyFont="1" applyFill="1" applyBorder="1" applyAlignment="1">
      <alignment vertical="center" wrapText="1"/>
    </xf>
    <xf numFmtId="0" fontId="2" fillId="24" borderId="0" xfId="0" applyFont="1" applyFill="1" applyBorder="1" applyAlignment="1">
      <alignment vertical="center" wrapText="1"/>
    </xf>
    <xf numFmtId="0" fontId="2" fillId="24" borderId="12" xfId="0" applyFont="1" applyFill="1" applyBorder="1" applyAlignment="1">
      <alignment vertical="center" wrapText="1"/>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26" fillId="8" borderId="5" xfId="0" applyFont="1" applyFill="1" applyBorder="1" applyAlignment="1">
      <alignment horizontal="left" vertical="center" wrapText="1"/>
    </xf>
    <xf numFmtId="0" fontId="26" fillId="8" borderId="6" xfId="0" applyFont="1" applyFill="1" applyBorder="1" applyAlignment="1">
      <alignment horizontal="left" vertical="center" wrapText="1"/>
    </xf>
    <xf numFmtId="0" fontId="26" fillId="8" borderId="14" xfId="0" applyFont="1" applyFill="1" applyBorder="1" applyAlignment="1">
      <alignment horizontal="left" vertical="center" wrapText="1"/>
    </xf>
    <xf numFmtId="0" fontId="26" fillId="8" borderId="10" xfId="0" applyFont="1" applyFill="1" applyBorder="1" applyAlignment="1">
      <alignment horizontal="left" vertical="center" wrapText="1"/>
    </xf>
    <xf numFmtId="0" fontId="26" fillId="8" borderId="11" xfId="0" applyFont="1" applyFill="1" applyBorder="1" applyAlignment="1">
      <alignment horizontal="left" vertical="center"/>
    </xf>
    <xf numFmtId="0" fontId="32" fillId="18" borderId="7" xfId="0" applyFont="1" applyFill="1" applyBorder="1" applyAlignment="1">
      <alignment horizontal="left" vertical="center" wrapText="1"/>
    </xf>
    <xf numFmtId="0" fontId="32" fillId="18" borderId="8" xfId="0" applyFont="1" applyFill="1" applyBorder="1" applyAlignment="1">
      <alignment horizontal="left" vertical="center" wrapText="1"/>
    </xf>
    <xf numFmtId="0" fontId="32" fillId="18" borderId="9" xfId="0" applyFont="1" applyFill="1" applyBorder="1" applyAlignment="1">
      <alignment horizontal="left" vertical="center" wrapText="1"/>
    </xf>
    <xf numFmtId="0" fontId="24" fillId="21" borderId="0" xfId="0" applyFont="1" applyFill="1" applyAlignment="1">
      <alignment horizontal="justify" vertical="center" wrapText="1"/>
    </xf>
    <xf numFmtId="0" fontId="38" fillId="8" borderId="0" xfId="0" applyFont="1" applyFill="1" applyBorder="1" applyAlignment="1">
      <alignment horizontal="center" vertical="center"/>
    </xf>
    <xf numFmtId="0" fontId="2" fillId="8" borderId="7" xfId="0" applyFont="1" applyFill="1" applyBorder="1" applyAlignment="1">
      <alignment vertical="center" wrapText="1"/>
    </xf>
    <xf numFmtId="0" fontId="2" fillId="8" borderId="8" xfId="0" applyFont="1" applyFill="1" applyBorder="1" applyAlignment="1">
      <alignment vertical="center" wrapText="1"/>
    </xf>
    <xf numFmtId="0" fontId="2" fillId="8" borderId="9" xfId="0" applyFont="1" applyFill="1" applyBorder="1" applyAlignment="1">
      <alignment vertical="center" wrapText="1"/>
    </xf>
    <xf numFmtId="0" fontId="26" fillId="8" borderId="0" xfId="0" applyFont="1" applyFill="1" applyAlignment="1">
      <alignment horizontal="center" vertical="center" wrapText="1"/>
    </xf>
    <xf numFmtId="0" fontId="32" fillId="0" borderId="0" xfId="0" applyFont="1" applyBorder="1" applyAlignment="1" applyProtection="1">
      <alignment vertical="center"/>
      <protection locked="0"/>
    </xf>
    <xf numFmtId="0" fontId="2" fillId="0" borderId="0" xfId="0" applyFont="1"/>
    <xf numFmtId="0" fontId="17" fillId="0" borderId="0" xfId="0" applyFont="1" applyAlignment="1">
      <alignment vertical="center" wrapText="1"/>
    </xf>
    <xf numFmtId="0" fontId="56" fillId="8" borderId="0" xfId="0" applyFont="1" applyFill="1" applyBorder="1" applyAlignment="1">
      <alignment horizontal="center" vertical="center" wrapText="1"/>
    </xf>
    <xf numFmtId="0" fontId="2" fillId="27" borderId="21" xfId="0" applyFont="1" applyFill="1" applyBorder="1" applyAlignment="1">
      <alignment vertical="center"/>
    </xf>
    <xf numFmtId="0" fontId="2" fillId="27" borderId="22" xfId="0" applyFont="1" applyFill="1" applyBorder="1" applyAlignment="1">
      <alignment vertical="center"/>
    </xf>
    <xf numFmtId="0" fontId="2" fillId="27" borderId="23" xfId="0" applyFont="1" applyFill="1" applyBorder="1" applyAlignment="1">
      <alignment vertical="center"/>
    </xf>
    <xf numFmtId="0" fontId="0" fillId="0" borderId="0" xfId="0" applyAlignment="1">
      <alignment vertical="center"/>
    </xf>
    <xf numFmtId="0" fontId="2" fillId="8" borderId="0" xfId="0" applyFont="1" applyFill="1" applyBorder="1" applyAlignment="1">
      <alignment horizontal="center" vertical="center" wrapText="1"/>
    </xf>
    <xf numFmtId="0" fontId="2" fillId="3" borderId="3" xfId="0" applyFont="1" applyFill="1" applyBorder="1" applyAlignment="1">
      <alignment vertical="center"/>
    </xf>
    <xf numFmtId="0" fontId="17" fillId="21" borderId="0" xfId="0" applyFont="1" applyFill="1" applyAlignment="1">
      <alignment vertical="top" wrapText="1"/>
    </xf>
    <xf numFmtId="0" fontId="54" fillId="8" borderId="0" xfId="0" applyFont="1" applyFill="1" applyBorder="1" applyAlignment="1">
      <alignment horizontal="left" vertical="center" wrapText="1"/>
    </xf>
    <xf numFmtId="0" fontId="54" fillId="8" borderId="12" xfId="0" applyFont="1" applyFill="1" applyBorder="1" applyAlignment="1">
      <alignment horizontal="left" vertical="center" wrapText="1"/>
    </xf>
    <xf numFmtId="0" fontId="2" fillId="0" borderId="0" xfId="0" applyFont="1" applyAlignment="1">
      <alignment horizontal="center" vertical="center"/>
    </xf>
    <xf numFmtId="0" fontId="2" fillId="8" borderId="0" xfId="0" applyFont="1" applyFill="1" applyAlignment="1">
      <alignment vertical="center"/>
    </xf>
    <xf numFmtId="0" fontId="2" fillId="8" borderId="12" xfId="0" applyFont="1" applyFill="1" applyBorder="1" applyAlignment="1">
      <alignment vertical="center"/>
    </xf>
    <xf numFmtId="0" fontId="47" fillId="0" borderId="0" xfId="0" applyFont="1" applyAlignment="1"/>
    <xf numFmtId="0" fontId="48" fillId="0" borderId="0" xfId="1" applyFont="1" applyAlignment="1" applyProtection="1">
      <alignment vertical="center" wrapText="1"/>
      <protection locked="0"/>
    </xf>
    <xf numFmtId="0" fontId="0" fillId="0" borderId="0" xfId="0" applyFont="1" applyAlignment="1" applyProtection="1">
      <alignment vertical="top" wrapText="1"/>
      <protection locked="0"/>
    </xf>
    <xf numFmtId="0" fontId="2" fillId="0" borderId="0" xfId="0" applyFont="1" applyAlignment="1">
      <alignment vertical="center"/>
    </xf>
    <xf numFmtId="0" fontId="2" fillId="0" borderId="12" xfId="0" applyFont="1" applyBorder="1" applyAlignment="1">
      <alignment vertical="center"/>
    </xf>
    <xf numFmtId="0" fontId="43" fillId="4" borderId="7" xfId="0" applyNumberFormat="1" applyFont="1" applyFill="1" applyBorder="1" applyAlignment="1" applyProtection="1">
      <alignment horizontal="left" vertical="center"/>
      <protection locked="0"/>
    </xf>
    <xf numFmtId="0" fontId="43" fillId="4" borderId="8" xfId="0" applyNumberFormat="1" applyFont="1" applyFill="1" applyBorder="1" applyAlignment="1" applyProtection="1">
      <alignment horizontal="left" vertical="center"/>
      <protection locked="0"/>
    </xf>
    <xf numFmtId="0" fontId="43" fillId="4" borderId="9" xfId="0" applyNumberFormat="1" applyFont="1" applyFill="1" applyBorder="1" applyAlignment="1" applyProtection="1">
      <alignment horizontal="left" vertical="center"/>
      <protection locked="0"/>
    </xf>
    <xf numFmtId="0" fontId="70" fillId="0" borderId="0" xfId="0" applyFont="1" applyAlignment="1">
      <alignment horizontal="center" vertical="center" wrapText="1"/>
    </xf>
    <xf numFmtId="0" fontId="57" fillId="0" borderId="0" xfId="0" applyFont="1" applyAlignment="1">
      <alignment horizontal="left"/>
    </xf>
    <xf numFmtId="0" fontId="8" fillId="4" borderId="1" xfId="0" applyFont="1" applyFill="1" applyBorder="1" applyProtection="1">
      <protection locked="0"/>
    </xf>
    <xf numFmtId="0" fontId="61" fillId="6" borderId="0" xfId="0" applyFont="1" applyFill="1" applyAlignment="1">
      <alignment horizontal="justify" vertical="center" wrapText="1"/>
    </xf>
    <xf numFmtId="0" fontId="34" fillId="0" borderId="0" xfId="0" applyFont="1" applyAlignment="1">
      <alignment vertical="center" wrapText="1"/>
    </xf>
    <xf numFmtId="0" fontId="0" fillId="0" borderId="0" xfId="0" applyAlignment="1" applyProtection="1">
      <alignment wrapText="1"/>
      <protection locked="0"/>
    </xf>
    <xf numFmtId="0" fontId="48" fillId="0" borderId="0" xfId="1" applyFont="1" applyAlignment="1">
      <alignment vertical="center" wrapText="1"/>
    </xf>
    <xf numFmtId="0" fontId="34" fillId="0" borderId="0" xfId="0" applyFont="1" applyAlignment="1">
      <alignment horizontal="center"/>
    </xf>
    <xf numFmtId="0" fontId="0" fillId="0" borderId="0" xfId="0"/>
    <xf numFmtId="0" fontId="66" fillId="8" borderId="0" xfId="1" applyFont="1" applyFill="1" applyAlignment="1" applyProtection="1">
      <alignment vertical="center" wrapText="1"/>
      <protection locked="0"/>
    </xf>
    <xf numFmtId="0" fontId="8" fillId="2" borderId="0" xfId="0" applyFont="1" applyFill="1" applyAlignment="1" applyProtection="1">
      <alignment vertical="top" wrapText="1"/>
      <protection locked="0"/>
    </xf>
    <xf numFmtId="0" fontId="8" fillId="2" borderId="0" xfId="0" applyFont="1" applyFill="1" applyAlignment="1" applyProtection="1">
      <alignment horizontal="justify" vertical="top"/>
      <protection locked="0"/>
    </xf>
    <xf numFmtId="0" fontId="2" fillId="0" borderId="0" xfId="0" applyFont="1" applyAlignment="1">
      <alignment horizontal="left" vertical="center"/>
    </xf>
    <xf numFmtId="0" fontId="2" fillId="0" borderId="0" xfId="0" applyFont="1" applyAlignment="1" applyProtection="1">
      <alignment horizontal="left" vertical="center" wrapText="1"/>
      <protection locked="0"/>
    </xf>
    <xf numFmtId="0" fontId="2" fillId="6" borderId="3" xfId="0" applyFont="1" applyFill="1" applyBorder="1" applyAlignment="1">
      <alignment horizontal="justify" vertical="center" wrapText="1"/>
    </xf>
    <xf numFmtId="0" fontId="24" fillId="6" borderId="0" xfId="0" applyFont="1" applyFill="1" applyBorder="1" applyAlignment="1">
      <alignment horizontal="justify" vertical="center" wrapText="1"/>
    </xf>
    <xf numFmtId="0" fontId="24" fillId="6" borderId="12" xfId="0" applyFont="1" applyFill="1" applyBorder="1" applyAlignment="1">
      <alignment horizontal="justify" vertical="center" wrapText="1"/>
    </xf>
    <xf numFmtId="0" fontId="29" fillId="6" borderId="5" xfId="1" applyFont="1" applyFill="1" applyBorder="1" applyAlignment="1" applyProtection="1">
      <alignment horizontal="center" vertical="center" wrapText="1"/>
      <protection locked="0"/>
    </xf>
    <xf numFmtId="0" fontId="29" fillId="6" borderId="6" xfId="1" applyFont="1" applyFill="1" applyBorder="1" applyAlignment="1" applyProtection="1">
      <alignment horizontal="center" vertical="center" wrapText="1"/>
      <protection locked="0"/>
    </xf>
    <xf numFmtId="0" fontId="29" fillId="6" borderId="14" xfId="1" applyFont="1" applyFill="1" applyBorder="1" applyAlignment="1" applyProtection="1">
      <alignment horizontal="center" vertical="center" wrapText="1"/>
      <protection locked="0"/>
    </xf>
  </cellXfs>
  <cellStyles count="3">
    <cellStyle name="Hyperlink" xfId="1" builtinId="8"/>
    <cellStyle name="Normal" xfId="0" builtinId="0"/>
    <cellStyle name="Percent" xfId="2" builtinId="5"/>
  </cellStyles>
  <dxfs count="846">
    <dxf>
      <font>
        <color theme="5" tint="-0.24994659260841701"/>
      </font>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70C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border>
        <left/>
        <right/>
        <top/>
        <bottom/>
      </border>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border>
        <left/>
        <right/>
        <top/>
        <bottom/>
      </border>
    </dxf>
    <dxf>
      <fill>
        <patternFill>
          <bgColor rgb="FF266196"/>
        </patternFill>
      </fill>
    </dxf>
    <dxf>
      <fill>
        <patternFill>
          <bgColor rgb="FFFFFF00"/>
        </patternFill>
      </fill>
    </dxf>
    <dxf>
      <fill>
        <patternFill>
          <bgColor rgb="FFFFFF00"/>
        </patternFill>
      </fill>
    </dxf>
    <dxf>
      <fill>
        <patternFill>
          <bgColor rgb="FFFFFF00"/>
        </patternFill>
      </fill>
    </dxf>
    <dxf>
      <font>
        <b/>
        <i val="0"/>
        <color theme="0"/>
      </font>
      <fill>
        <patternFill>
          <bgColor rgb="FF0070C0"/>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FF00"/>
        </patternFill>
      </fill>
    </dxf>
    <dxf>
      <fill>
        <patternFill>
          <bgColor rgb="FFFFFF00"/>
        </patternFill>
      </fill>
    </dxf>
    <dxf>
      <fill>
        <patternFill>
          <bgColor theme="5" tint="0.79998168889431442"/>
        </patternFill>
      </fill>
    </dxf>
    <dxf>
      <fill>
        <patternFill>
          <bgColor rgb="FFFF9B9B"/>
        </patternFill>
      </fill>
    </dxf>
    <dxf>
      <fill>
        <patternFill>
          <bgColor rgb="FF92D050"/>
        </patternFill>
      </fill>
    </dxf>
    <dxf>
      <font>
        <color theme="5" tint="-0.24994659260841701"/>
      </font>
      <fill>
        <patternFill>
          <bgColor theme="0" tint="-4.9989318521683403E-2"/>
        </patternFill>
      </fill>
    </dxf>
    <dxf>
      <fill>
        <patternFill>
          <bgColor rgb="FFEFE5F7"/>
        </patternFill>
      </fill>
    </dxf>
    <dxf>
      <fill>
        <patternFill>
          <bgColor rgb="FFEDFBFD"/>
        </patternFill>
      </fill>
      <border>
        <left style="thin">
          <color auto="1"/>
        </left>
        <right style="thin">
          <color auto="1"/>
        </right>
        <top style="thin">
          <color auto="1"/>
        </top>
        <bottom style="thin">
          <color auto="1"/>
        </bottom>
      </border>
    </dxf>
    <dxf>
      <font>
        <color rgb="FFC00000"/>
      </font>
      <fill>
        <patternFill>
          <bgColor rgb="FFFFFF00"/>
        </patternFill>
      </fill>
    </dxf>
    <dxf>
      <fill>
        <patternFill>
          <bgColor rgb="FFFFFF0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color rgb="FFC00000"/>
      </font>
      <fill>
        <patternFill>
          <bgColor rgb="FFFFFF00"/>
        </patternFill>
      </fill>
    </dxf>
    <dxf>
      <fill>
        <patternFill>
          <bgColor rgb="FFFF9B9B"/>
        </patternFill>
      </fill>
    </dxf>
    <dxf>
      <fill>
        <patternFill>
          <bgColor rgb="FF92D050"/>
        </patternFill>
      </fill>
    </dxf>
    <dxf>
      <font>
        <b/>
        <i val="0"/>
        <color theme="0"/>
      </font>
      <fill>
        <patternFill>
          <bgColor rgb="FF0070C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border>
        <left/>
        <right/>
        <top/>
        <bottom/>
      </border>
    </dxf>
    <dxf>
      <font>
        <color rgb="FFC0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FFC7CE"/>
        </patternFill>
      </fill>
    </dxf>
    <dxf>
      <fill>
        <patternFill>
          <bgColor rgb="FF92D050"/>
        </patternFill>
      </fill>
    </dxf>
    <dxf>
      <fill>
        <patternFill>
          <bgColor rgb="FFFFFF00"/>
        </patternFill>
      </fill>
    </dxf>
    <dxf>
      <font>
        <color rgb="FFC00000"/>
      </font>
      <fill>
        <patternFill>
          <bgColor rgb="FFFFFF00"/>
        </patternFill>
      </fill>
    </dxf>
    <dxf>
      <fill>
        <patternFill>
          <bgColor rgb="FFFFFF00"/>
        </patternFill>
      </fill>
    </dxf>
    <dxf>
      <fill>
        <patternFill>
          <bgColor rgb="FFFFFF00"/>
        </patternFill>
      </fill>
    </dxf>
    <dxf>
      <fill>
        <patternFill>
          <bgColor rgb="FFFFFF00"/>
        </patternFill>
      </fill>
    </dxf>
    <dxf>
      <font>
        <color rgb="FF0070C0"/>
      </font>
      <fill>
        <patternFill>
          <bgColor rgb="FF92D050"/>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C7CE"/>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ont>
        <b/>
        <i val="0"/>
        <color theme="0"/>
      </font>
      <fill>
        <patternFill>
          <bgColor rgb="FF0070C0"/>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rgb="FF0070C0"/>
      </font>
      <fill>
        <patternFill>
          <bgColor theme="7" tint="0.79998168889431442"/>
        </patternFill>
      </fill>
    </dxf>
    <dxf>
      <fill>
        <patternFill>
          <bgColor rgb="FF266196"/>
        </patternFill>
      </fill>
    </dxf>
    <dxf>
      <font>
        <color rgb="FF0070C0"/>
      </font>
      <fill>
        <patternFill>
          <bgColor theme="5" tint="0.79998168889431442"/>
        </patternFill>
      </fill>
      <border>
        <left/>
        <right/>
        <top/>
        <bottom/>
      </border>
    </dxf>
    <dxf>
      <font>
        <b/>
        <i val="0"/>
        <color theme="0"/>
      </font>
      <fill>
        <patternFill>
          <bgColor rgb="FF0070C0"/>
        </patternFill>
      </fill>
    </dxf>
    <dxf>
      <font>
        <b/>
        <i val="0"/>
        <color theme="0"/>
      </font>
      <fill>
        <patternFill>
          <bgColor rgb="FF0070C0"/>
        </patternFill>
      </fill>
    </dxf>
    <dxf>
      <font>
        <b/>
        <i val="0"/>
        <color theme="0"/>
      </font>
      <fill>
        <patternFill>
          <bgColor rgb="FF0070C0"/>
        </patternFill>
      </fill>
    </dxf>
    <dxf>
      <fill>
        <patternFill>
          <bgColor rgb="FF92D050"/>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ont>
        <color rgb="FFC00000"/>
      </font>
      <fill>
        <patternFill>
          <bgColor rgb="FFFFFF00"/>
        </patternFill>
      </fill>
    </dxf>
    <dxf>
      <font>
        <color rgb="FFC00000"/>
      </font>
      <fill>
        <patternFill>
          <bgColor rgb="FFFFFF00"/>
        </patternFill>
      </fill>
    </dxf>
    <dxf>
      <font>
        <b/>
        <i val="0"/>
        <color theme="0"/>
      </font>
      <fill>
        <patternFill>
          <bgColor rgb="FF0070C0"/>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CDFF5"/>
        </patternFill>
      </fill>
      <border>
        <left style="thin">
          <color auto="1"/>
        </left>
        <right style="thin">
          <color auto="1"/>
        </right>
        <top style="thin">
          <color auto="1"/>
        </top>
        <bottom style="thin">
          <color auto="1"/>
        </bottom>
        <vertical/>
        <horizontal/>
      </border>
    </dxf>
    <dxf>
      <fill>
        <patternFill>
          <bgColor theme="7" tint="0.59996337778862885"/>
        </patternFill>
      </fill>
    </dxf>
    <dxf>
      <fill>
        <patternFill>
          <bgColor theme="7" tint="0.59996337778862885"/>
        </patternFill>
      </fill>
      <border>
        <left/>
        <right/>
        <top/>
        <bottom/>
        <vertical/>
        <horizontal/>
      </border>
    </dxf>
    <dxf>
      <font>
        <b/>
        <i val="0"/>
        <color theme="0"/>
      </font>
      <fill>
        <patternFill>
          <bgColor rgb="FF0070C0"/>
        </patternFill>
      </fill>
    </dxf>
    <dxf>
      <font>
        <b/>
        <i val="0"/>
        <color theme="0"/>
      </font>
      <fill>
        <patternFill>
          <bgColor rgb="FF0070C0"/>
        </patternFill>
      </fill>
    </dxf>
    <dxf>
      <font>
        <b/>
        <i val="0"/>
        <color theme="0"/>
      </font>
      <fill>
        <patternFill>
          <bgColor rgb="FF0070C0"/>
        </patternFill>
      </fill>
    </dxf>
    <dxf>
      <font>
        <b/>
        <i val="0"/>
        <color theme="0"/>
      </font>
      <fill>
        <patternFill>
          <bgColor rgb="FF0070C0"/>
        </patternFill>
      </fill>
    </dxf>
    <dxf>
      <fill>
        <patternFill>
          <bgColor rgb="FFE8DAFA"/>
        </patternFill>
      </fill>
    </dxf>
    <dxf>
      <fill>
        <patternFill>
          <bgColor rgb="FFFFF0C5"/>
        </patternFill>
      </fill>
    </dxf>
    <dxf>
      <font>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color rgb="FFC00000"/>
      </font>
      <fill>
        <patternFill>
          <bgColor rgb="FFFFFF00"/>
        </patternFill>
      </fill>
    </dxf>
    <dxf>
      <font>
        <b val="0"/>
        <i val="0"/>
        <color rgb="FFC00000"/>
      </font>
      <fill>
        <patternFill>
          <bgColor rgb="FFFFFF00"/>
        </patternFill>
      </fill>
    </dxf>
    <dxf>
      <font>
        <b val="0"/>
        <i val="0"/>
        <color rgb="FFC00000"/>
      </font>
      <fill>
        <patternFill>
          <bgColor rgb="FFFFFF00"/>
        </patternFill>
      </fill>
    </dxf>
    <dxf>
      <font>
        <b val="0"/>
        <i val="0"/>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797"/>
        </patternFill>
      </fill>
    </dxf>
    <dxf>
      <fill>
        <patternFill>
          <bgColor rgb="FF92D05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b/>
        <i val="0"/>
        <color rgb="FFC00000"/>
      </font>
      <fill>
        <patternFill>
          <bgColor rgb="FFFFFF00"/>
        </patternFill>
      </fill>
      <border>
        <vertical/>
        <horizontal/>
      </border>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FF9B9B"/>
        </patternFill>
      </fill>
    </dxf>
    <dxf>
      <fill>
        <patternFill>
          <bgColor rgb="FF92D050"/>
        </patternFill>
      </fill>
    </dxf>
    <dxf>
      <fill>
        <patternFill>
          <bgColor theme="9" tint="0.79998168889431442"/>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FF9B9B"/>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92D050"/>
        </patternFill>
      </fill>
    </dxf>
    <dxf>
      <fill>
        <patternFill>
          <bgColor rgb="FFFF9B9B"/>
        </patternFill>
      </fill>
    </dxf>
    <dxf>
      <fill>
        <patternFill>
          <bgColor theme="5"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9"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0070C0"/>
      </font>
      <fill>
        <patternFill>
          <bgColor theme="5" tint="0.79998168889431442"/>
        </patternFill>
      </fill>
      <border>
        <left/>
        <right/>
        <top/>
        <bottom/>
      </border>
    </dxf>
    <dxf>
      <font>
        <color rgb="FF0070C0"/>
      </font>
      <fill>
        <patternFill>
          <bgColor theme="5" tint="0.79998168889431442"/>
        </patternFill>
      </fill>
      <border>
        <left/>
        <right/>
        <top/>
        <bottom/>
      </border>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ill>
        <patternFill>
          <bgColor theme="5" tint="0.3999450666829432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ont>
        <b/>
        <i val="0"/>
        <color auto="1"/>
      </font>
      <fill>
        <patternFill>
          <bgColor rgb="FFFDEFE7"/>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C00000"/>
      </font>
      <fill>
        <patternFill>
          <bgColor rgb="FFFFFF00"/>
        </patternFill>
      </fill>
    </dxf>
    <dxf>
      <font>
        <color rgb="FFC00000"/>
      </font>
      <fill>
        <patternFill>
          <bgColor rgb="FFFFFF00"/>
        </patternFill>
      </fill>
    </dxf>
    <dxf>
      <font>
        <color rgb="FFFF0000"/>
      </font>
      <fill>
        <patternFill>
          <bgColor rgb="FFFFFF00"/>
        </patternFill>
      </fill>
    </dxf>
    <dxf>
      <fill>
        <patternFill>
          <bgColor rgb="FFFF9B9B"/>
        </patternFill>
      </fill>
    </dxf>
    <dxf>
      <fill>
        <patternFill>
          <bgColor rgb="FF92D050"/>
        </patternFill>
      </fill>
    </dxf>
    <dxf>
      <fill>
        <patternFill>
          <bgColor rgb="FFFFC7CE"/>
        </patternFill>
      </fill>
    </dxf>
    <dxf>
      <fill>
        <patternFill>
          <bgColor rgb="FF92D050"/>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color rgb="FFC00000"/>
      </font>
      <fill>
        <patternFill>
          <bgColor rgb="FFFFFF00"/>
        </patternFill>
      </fill>
    </dxf>
    <dxf>
      <font>
        <b/>
        <i val="0"/>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b/>
        <i val="0"/>
        <color theme="8" tint="-0.24994659260841701"/>
      </font>
      <fill>
        <patternFill>
          <bgColor theme="7" tint="0.79998168889431442"/>
        </patternFill>
      </fill>
    </dxf>
    <dxf>
      <font>
        <b/>
        <i val="0"/>
        <color theme="8" tint="-0.24994659260841701"/>
      </font>
      <fill>
        <patternFill>
          <bgColor theme="7" tint="0.79998168889431442"/>
        </patternFill>
      </fill>
      <border>
        <left/>
        <right/>
        <top/>
        <bottom/>
      </border>
    </dxf>
    <dxf>
      <fill>
        <patternFill>
          <bgColor rgb="FF92D050"/>
        </patternFill>
      </fill>
    </dxf>
    <dxf>
      <fill>
        <patternFill>
          <bgColor rgb="FFFF9B9B"/>
        </patternFill>
      </fill>
    </dxf>
    <dxf>
      <fill>
        <patternFill>
          <bgColor rgb="FFFF9B9B"/>
        </patternFill>
      </fill>
    </dxf>
    <dxf>
      <fill>
        <patternFill>
          <bgColor rgb="FF92D05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ont>
        <color rgb="FFC00000"/>
      </font>
      <fill>
        <patternFill>
          <bgColor rgb="FFFFFF00"/>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ont>
        <color rgb="FFFF0000"/>
      </font>
      <fill>
        <patternFill>
          <bgColor rgb="FFFFFF00"/>
        </patternFill>
      </fill>
    </dxf>
    <dxf>
      <fill>
        <patternFill>
          <bgColor rgb="FFFF9B9B"/>
        </patternFill>
      </fill>
    </dxf>
    <dxf>
      <fill>
        <patternFill>
          <bgColor rgb="FF92D050"/>
        </patternFill>
      </fill>
    </dxf>
    <dxf>
      <fill>
        <patternFill>
          <bgColor rgb="FFFF9B9B"/>
        </patternFill>
      </fill>
    </dxf>
    <dxf>
      <fill>
        <patternFill>
          <bgColor rgb="FF92D050"/>
        </patternFill>
      </fill>
    </dxf>
    <dxf>
      <fill>
        <patternFill>
          <bgColor rgb="FF92D050"/>
        </patternFill>
      </fill>
    </dxf>
    <dxf>
      <fill>
        <patternFill>
          <bgColor rgb="FFFF9B9B"/>
        </patternFill>
      </fill>
    </dxf>
    <dxf>
      <fill>
        <patternFill>
          <bgColor rgb="FF92D050"/>
        </patternFill>
      </fill>
    </dxf>
    <dxf>
      <font>
        <color rgb="FF0070C0"/>
      </font>
      <fill>
        <patternFill>
          <bgColor theme="5" tint="0.79998168889431442"/>
        </patternFill>
      </fill>
      <border>
        <left/>
        <right/>
        <top/>
        <bottom/>
      </border>
    </dxf>
    <dxf>
      <font>
        <strike val="0"/>
        <color rgb="FF0070C0"/>
      </font>
      <fill>
        <patternFill>
          <bgColor theme="5" tint="0.79998168889431442"/>
        </patternFill>
      </fill>
      <border>
        <left/>
        <right/>
        <top/>
        <bottom/>
      </border>
    </dxf>
    <dxf>
      <fill>
        <patternFill>
          <bgColor rgb="FFFFFF00"/>
        </patternFill>
      </fill>
      <border>
        <left/>
        <right/>
        <top/>
        <bottom/>
        <vertical/>
        <horizontal/>
      </border>
    </dxf>
    <dxf>
      <font>
        <b/>
        <i val="0"/>
        <color auto="1"/>
      </font>
      <fill>
        <patternFill>
          <bgColor rgb="FFFDEFE7"/>
        </patternFill>
      </fill>
    </dxf>
    <dxf>
      <fill>
        <patternFill>
          <bgColor rgb="FFFDF0E9"/>
        </patternFill>
      </fill>
    </dxf>
    <dxf>
      <border>
        <left style="thin">
          <color auto="1"/>
        </left>
        <right style="thin">
          <color auto="1"/>
        </right>
        <top style="thin">
          <color auto="1"/>
        </top>
        <bottom style="thin">
          <color auto="1"/>
        </bottom>
        <vertical/>
        <horizontal/>
      </border>
    </dxf>
    <dxf>
      <font>
        <b/>
        <i val="0"/>
        <color auto="1"/>
      </font>
      <fill>
        <patternFill>
          <bgColor rgb="FFFDEFE7"/>
        </patternFill>
      </fill>
    </dxf>
    <dxf>
      <border>
        <left style="thin">
          <color auto="1"/>
        </left>
        <right style="thin">
          <color auto="1"/>
        </right>
        <top style="thin">
          <color auto="1"/>
        </top>
        <bottom style="thin">
          <color auto="1"/>
        </bottom>
        <vertical/>
        <horizontal/>
      </border>
    </dxf>
    <dxf>
      <font>
        <b/>
        <i val="0"/>
      </font>
      <fill>
        <patternFill>
          <bgColor theme="5" tint="0.79998168889431442"/>
        </patternFill>
      </fill>
    </dxf>
    <dxf>
      <font>
        <color rgb="FFC00000"/>
      </font>
      <fill>
        <patternFill>
          <bgColor rgb="FFFFFF00"/>
        </patternFill>
      </fill>
      <border>
        <left/>
        <right/>
        <top/>
        <bottom/>
      </border>
    </dxf>
    <dxf>
      <fill>
        <patternFill>
          <bgColor rgb="FFE8D9F3"/>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E8DAFA"/>
        </patternFill>
      </fill>
    </dxf>
    <dxf>
      <fill>
        <patternFill>
          <bgColor rgb="FFFFF0C5"/>
        </patternFill>
      </fill>
    </dxf>
    <dxf>
      <fill>
        <patternFill>
          <bgColor rgb="FFFFC7CE"/>
        </patternFill>
      </fill>
    </dxf>
    <dxf>
      <fill>
        <patternFill>
          <bgColor rgb="FF92D050"/>
        </patternFill>
      </fill>
    </dxf>
    <dxf>
      <fill>
        <patternFill>
          <bgColor rgb="FFEFF6FB"/>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FF6FB"/>
      <color rgb="FFE8D9F3"/>
      <color rgb="FFD2F3F8"/>
      <color rgb="FFEFE5F7"/>
      <color rgb="FFEDFBFD"/>
      <color rgb="FFD6F7FA"/>
      <color rgb="FFFF9B9B"/>
      <color rgb="FFFFCECE"/>
      <color rgb="FFFFC7CE"/>
      <color rgb="FFFFF0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228600</xdr:colOff>
      <xdr:row>0</xdr:row>
      <xdr:rowOff>123824</xdr:rowOff>
    </xdr:from>
    <xdr:to>
      <xdr:col>13</xdr:col>
      <xdr:colOff>410822</xdr:colOff>
      <xdr:row>2</xdr:row>
      <xdr:rowOff>9524</xdr:rowOff>
    </xdr:to>
    <xdr:pic>
      <xdr:nvPicPr>
        <xdr:cNvPr id="4" name="Picture 9" descr="CAAHEP logo">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097" t="14703" r="20572" b="20456"/>
        <a:stretch/>
      </xdr:blipFill>
      <xdr:spPr bwMode="auto">
        <a:xfrm>
          <a:off x="7886700" y="123824"/>
          <a:ext cx="79182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31750</xdr:colOff>
      <xdr:row>0</xdr:row>
      <xdr:rowOff>95251</xdr:rowOff>
    </xdr:from>
    <xdr:to>
      <xdr:col>2</xdr:col>
      <xdr:colOff>1238251</xdr:colOff>
      <xdr:row>2</xdr:row>
      <xdr:rowOff>105834</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583" y="95251"/>
          <a:ext cx="1206501" cy="10054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coaemsp.org/Policy_Procedures.htm" TargetMode="External"/><Relationship Id="rId7" Type="http://schemas.openxmlformats.org/officeDocument/2006/relationships/drawing" Target="../drawings/drawing1.xml"/><Relationship Id="rId2" Type="http://schemas.openxmlformats.org/officeDocument/2006/relationships/hyperlink" Target="http://coaemsp.org/Policy_Procedures.htm"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mailto:annualreports@coaemsp.org" TargetMode="External"/><Relationship Id="rId4" Type="http://schemas.openxmlformats.org/officeDocument/2006/relationships/hyperlink" Target="http://coaemsp.org/Evaluations.htm"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sheetPr>
  <dimension ref="A1:EV425"/>
  <sheetViews>
    <sheetView showGridLines="0" tabSelected="1" topLeftCell="A270" zoomScaleNormal="100" workbookViewId="0">
      <selection activeCell="I381" sqref="I381"/>
    </sheetView>
  </sheetViews>
  <sheetFormatPr defaultRowHeight="15" x14ac:dyDescent="0.25"/>
  <cols>
    <col min="1" max="1" width="4.7109375" style="17" customWidth="1"/>
    <col min="2" max="2" width="4.42578125" style="14" customWidth="1"/>
    <col min="3" max="3" width="21.85546875" style="14" customWidth="1"/>
    <col min="4" max="4" width="20.85546875" customWidth="1"/>
    <col min="5" max="6" width="11.42578125" style="14" customWidth="1"/>
    <col min="7" max="7" width="13.42578125" customWidth="1"/>
    <col min="8" max="13" width="11.42578125" customWidth="1"/>
    <col min="14" max="14" width="14" customWidth="1"/>
    <col min="16" max="16" width="9.140625" style="260" customWidth="1"/>
    <col min="17" max="19" width="9.140625" customWidth="1"/>
    <col min="20" max="20" width="10.5703125" customWidth="1"/>
    <col min="21" max="21" width="11" customWidth="1"/>
    <col min="22" max="22" width="11.140625" customWidth="1"/>
    <col min="23" max="27" width="10.5703125" customWidth="1"/>
    <col min="28" max="28" width="11.7109375" customWidth="1"/>
  </cols>
  <sheetData>
    <row r="1" spans="1:32" s="19" customFormat="1" x14ac:dyDescent="0.25">
      <c r="A1" s="263"/>
      <c r="P1" s="260"/>
    </row>
    <row r="2" spans="1:32" s="19" customFormat="1" ht="63" customHeight="1" x14ac:dyDescent="0.25">
      <c r="A2" s="17"/>
      <c r="D2" s="529" t="s">
        <v>4</v>
      </c>
      <c r="E2" s="529"/>
      <c r="F2" s="529"/>
      <c r="G2" s="529"/>
      <c r="H2" s="529"/>
      <c r="I2" s="529"/>
      <c r="J2" s="529"/>
      <c r="K2" s="529"/>
      <c r="L2" s="529"/>
      <c r="P2" s="260"/>
      <c r="R2" s="3"/>
      <c r="S2" s="3"/>
      <c r="T2" s="3"/>
      <c r="U2" s="3"/>
      <c r="V2" s="3"/>
      <c r="W2" s="3"/>
      <c r="X2" s="3"/>
      <c r="Y2" s="3"/>
      <c r="Z2" s="3"/>
      <c r="AA2" s="3"/>
      <c r="AB2" s="3"/>
      <c r="AC2" s="3"/>
      <c r="AD2" s="3"/>
      <c r="AE2" s="17"/>
      <c r="AF2" s="17"/>
    </row>
    <row r="3" spans="1:32" s="19" customFormat="1" ht="10.5" customHeight="1" x14ac:dyDescent="0.25">
      <c r="A3" s="17"/>
      <c r="D3" s="1"/>
      <c r="P3" s="260"/>
      <c r="R3" s="3"/>
      <c r="S3" s="3"/>
      <c r="T3" s="3"/>
      <c r="U3" s="3"/>
      <c r="V3" s="3"/>
      <c r="W3" s="3"/>
      <c r="X3" s="3"/>
      <c r="Y3" s="3"/>
      <c r="Z3" s="3"/>
      <c r="AA3" s="3"/>
      <c r="AB3" s="3"/>
      <c r="AC3" s="3"/>
      <c r="AD3" s="3"/>
      <c r="AE3" s="17"/>
      <c r="AF3" s="17"/>
    </row>
    <row r="4" spans="1:32" s="19" customFormat="1" ht="39" customHeight="1" x14ac:dyDescent="0.25">
      <c r="A4" s="17"/>
      <c r="B4" s="58"/>
      <c r="C4" s="58"/>
      <c r="D4" s="58">
        <v>2018</v>
      </c>
      <c r="E4" s="58" t="s">
        <v>161</v>
      </c>
      <c r="F4" s="58"/>
      <c r="G4" s="58"/>
      <c r="H4" s="58"/>
      <c r="I4" s="58"/>
      <c r="J4" s="58"/>
      <c r="K4" s="58"/>
      <c r="L4" s="58"/>
      <c r="M4" s="58"/>
      <c r="N4" s="58"/>
      <c r="P4" s="260"/>
      <c r="Q4" s="17"/>
      <c r="R4" s="3"/>
      <c r="S4" s="3"/>
      <c r="T4" s="3"/>
      <c r="U4" s="3"/>
      <c r="V4" s="3"/>
      <c r="W4" s="3"/>
      <c r="X4" s="3"/>
      <c r="Y4" s="3"/>
      <c r="Z4" s="3"/>
      <c r="AA4" s="3"/>
      <c r="AB4" s="3"/>
      <c r="AC4" s="3"/>
      <c r="AD4" s="3"/>
      <c r="AE4" s="17"/>
      <c r="AF4" s="17"/>
    </row>
    <row r="5" spans="1:32" x14ac:dyDescent="0.25">
      <c r="A5" s="536">
        <v>1</v>
      </c>
      <c r="B5" s="536"/>
      <c r="C5" s="536"/>
      <c r="D5" s="536"/>
      <c r="E5" s="536"/>
      <c r="F5" s="536"/>
    </row>
    <row r="6" spans="1:32" s="19" customFormat="1" ht="12.75" customHeight="1" x14ac:dyDescent="0.25">
      <c r="A6" s="17"/>
      <c r="P6" s="260"/>
      <c r="Q6" s="17"/>
      <c r="R6" s="3"/>
      <c r="S6" s="3"/>
      <c r="T6" s="3"/>
      <c r="U6" s="3"/>
      <c r="V6" s="3"/>
      <c r="W6" s="3"/>
      <c r="X6" s="3"/>
      <c r="Y6" s="3"/>
      <c r="Z6" s="3"/>
      <c r="AA6" s="3"/>
      <c r="AB6" s="3"/>
      <c r="AC6" s="3"/>
      <c r="AD6" s="3"/>
      <c r="AE6" s="17"/>
      <c r="AF6" s="17"/>
    </row>
    <row r="7" spans="1:32" ht="42" customHeight="1" x14ac:dyDescent="0.25">
      <c r="B7" s="530" t="str">
        <f>"CoAEMSP Letter of Review (LoR) / CAAHEP Accredited (Initial and Continuing) programs must complete and submit THIS Excel annual report template no later than March 15, " &amp;D4+2&amp; " which will represent all cohorts that have graduated in " &amp;D4&amp; ".  No PDF or paper copy versions of this report will be accepted."</f>
        <v>CoAEMSP Letter of Review (LoR) / CAAHEP Accredited (Initial and Continuing) programs must complete and submit THIS Excel annual report template no later than March 15, 2020 which will represent all cohorts that have graduated in 2018.  No PDF or paper copy versions of this report will be accepted.</v>
      </c>
      <c r="C7" s="530"/>
      <c r="D7" s="530"/>
      <c r="E7" s="530"/>
      <c r="F7" s="530"/>
      <c r="G7" s="530"/>
      <c r="H7" s="530"/>
      <c r="I7" s="530"/>
      <c r="J7" s="530"/>
      <c r="K7" s="530"/>
      <c r="L7" s="530"/>
      <c r="M7" s="530"/>
      <c r="N7" s="530"/>
      <c r="O7" s="215"/>
    </row>
    <row r="8" spans="1:32" ht="39.75" customHeight="1" x14ac:dyDescent="0.25">
      <c r="B8" s="541" t="str">
        <f>"~ Remember ~ 
The filing deadline is March 30, " &amp;D4+2</f>
        <v>~ Remember ~ 
The filing deadline is March 30, 2020</v>
      </c>
      <c r="C8" s="542"/>
      <c r="D8" s="542"/>
      <c r="E8" s="542"/>
      <c r="F8" s="542"/>
      <c r="G8" s="542"/>
      <c r="H8" s="542"/>
      <c r="I8" s="542"/>
      <c r="J8" s="542"/>
      <c r="K8" s="542"/>
      <c r="L8" s="542"/>
      <c r="M8" s="542"/>
      <c r="N8" s="542"/>
    </row>
    <row r="9" spans="1:32" ht="14.45" customHeight="1" x14ac:dyDescent="0.25">
      <c r="D9" s="8"/>
      <c r="E9" s="8"/>
      <c r="G9" s="8"/>
      <c r="H9" s="8"/>
      <c r="I9" s="8"/>
      <c r="J9" s="8"/>
      <c r="K9" s="8"/>
      <c r="R9" s="260"/>
      <c r="S9" s="260"/>
    </row>
    <row r="10" spans="1:32" s="7" customFormat="1" ht="15" customHeight="1" x14ac:dyDescent="0.25">
      <c r="A10" s="17"/>
      <c r="B10" s="124"/>
      <c r="C10" s="126"/>
      <c r="D10" s="9"/>
      <c r="E10" s="545" t="s">
        <v>3</v>
      </c>
      <c r="F10" s="546"/>
      <c r="G10" s="546"/>
      <c r="H10" s="546"/>
      <c r="I10" s="546"/>
      <c r="J10" s="546"/>
      <c r="K10" s="546"/>
      <c r="L10" s="546"/>
      <c r="M10" s="546"/>
      <c r="N10" s="126"/>
      <c r="O10" s="372"/>
      <c r="P10" s="260"/>
      <c r="R10" s="260"/>
      <c r="S10" s="260"/>
      <c r="T10" s="260"/>
    </row>
    <row r="11" spans="1:32" x14ac:dyDescent="0.25">
      <c r="R11" s="260"/>
      <c r="S11" s="260"/>
      <c r="T11" s="260"/>
    </row>
    <row r="12" spans="1:32" s="124" customFormat="1" ht="12.75" customHeight="1" x14ac:dyDescent="0.25">
      <c r="A12" s="17"/>
      <c r="P12" s="260"/>
      <c r="Q12" s="17"/>
      <c r="R12" s="260"/>
      <c r="S12" s="260"/>
      <c r="T12" s="260"/>
      <c r="U12" s="3"/>
      <c r="V12" s="3"/>
      <c r="W12" s="3"/>
      <c r="X12" s="3"/>
      <c r="Y12" s="3"/>
      <c r="Z12" s="3"/>
      <c r="AA12" s="3"/>
      <c r="AB12" s="3"/>
      <c r="AC12" s="3"/>
      <c r="AD12" s="3"/>
      <c r="AE12" s="17"/>
      <c r="AF12" s="17"/>
    </row>
    <row r="13" spans="1:32" s="19" customFormat="1" ht="12.75" customHeight="1" x14ac:dyDescent="0.25">
      <c r="A13" s="17"/>
      <c r="P13" s="260"/>
      <c r="Q13" s="17"/>
      <c r="R13" s="3" t="s">
        <v>77</v>
      </c>
      <c r="S13" s="3">
        <f>IF(D4&lt;&gt;"",14,14)</f>
        <v>14</v>
      </c>
      <c r="T13" s="260"/>
      <c r="U13" s="3"/>
      <c r="V13" s="3"/>
      <c r="W13" s="3"/>
      <c r="X13" s="3"/>
      <c r="Y13" s="3"/>
      <c r="Z13" s="3"/>
      <c r="AA13" s="3"/>
      <c r="AB13" s="3"/>
      <c r="AC13" s="3"/>
      <c r="AD13" s="3"/>
      <c r="AE13" s="17"/>
      <c r="AF13" s="17"/>
    </row>
    <row r="14" spans="1:32" ht="25.5" customHeight="1" x14ac:dyDescent="0.25">
      <c r="B14" s="2"/>
      <c r="C14" s="22" t="s">
        <v>6</v>
      </c>
      <c r="D14" s="172">
        <v>600045</v>
      </c>
      <c r="E14" s="18" t="s">
        <v>9</v>
      </c>
      <c r="F14"/>
      <c r="O14" s="277" t="str">
        <f>IF(P14=1, "&lt;===", "")</f>
        <v/>
      </c>
      <c r="P14" s="278" t="str">
        <f>IF(AND(D14="", D417&lt;&gt;""), 1, "")</f>
        <v/>
      </c>
      <c r="R14" s="3" t="s">
        <v>71</v>
      </c>
      <c r="S14" s="3">
        <f>IF(AND(N66&lt;70%,N66&lt;&gt;0%),69,14)</f>
        <v>69</v>
      </c>
      <c r="T14" s="260"/>
    </row>
    <row r="15" spans="1:32" x14ac:dyDescent="0.25">
      <c r="B15"/>
      <c r="C15" s="171"/>
      <c r="E15"/>
      <c r="F15"/>
      <c r="P15" s="3"/>
      <c r="R15" s="3" t="s">
        <v>72</v>
      </c>
      <c r="S15" s="3">
        <f>IF(AND(N89&lt;70%,N89&lt;&gt;0%),83,14)</f>
        <v>14</v>
      </c>
      <c r="T15" s="260"/>
    </row>
    <row r="16" spans="1:32" ht="25.5" customHeight="1" x14ac:dyDescent="0.25">
      <c r="B16" s="2"/>
      <c r="C16" s="22" t="s">
        <v>30</v>
      </c>
      <c r="D16" s="531" t="s">
        <v>162</v>
      </c>
      <c r="E16" s="532"/>
      <c r="F16" s="532"/>
      <c r="G16" s="532"/>
      <c r="H16" s="532"/>
      <c r="I16" s="532"/>
      <c r="J16" s="532"/>
      <c r="K16" s="532"/>
      <c r="L16" s="532"/>
      <c r="M16" s="533"/>
      <c r="O16" s="277" t="str">
        <f>IF(P16=1, "&lt;===", "")</f>
        <v/>
      </c>
      <c r="P16" s="278" t="str">
        <f>IF(AND(D16="", D417&lt;&gt;""), 1, "")</f>
        <v/>
      </c>
      <c r="R16" s="3" t="s">
        <v>73</v>
      </c>
      <c r="S16" s="3">
        <f>IF(AND(N111&lt;70%,N111&lt;&gt;0%),83,14)</f>
        <v>14</v>
      </c>
      <c r="T16" s="260"/>
    </row>
    <row r="17" spans="1:20" x14ac:dyDescent="0.25">
      <c r="B17"/>
      <c r="C17" s="171"/>
      <c r="E17"/>
      <c r="F17"/>
      <c r="P17" s="3"/>
      <c r="R17" s="3" t="s">
        <v>74</v>
      </c>
      <c r="S17" s="3">
        <f>IF(AND(N149&lt;100%,N149&lt;&gt;0%),32,14)</f>
        <v>14</v>
      </c>
      <c r="T17" s="260"/>
    </row>
    <row r="18" spans="1:20" ht="18.75" customHeight="1" x14ac:dyDescent="0.25">
      <c r="B18" s="2"/>
      <c r="C18" s="23" t="s">
        <v>7</v>
      </c>
      <c r="D18" s="531" t="s">
        <v>163</v>
      </c>
      <c r="E18" s="533"/>
      <c r="F18" s="534" t="s">
        <v>8</v>
      </c>
      <c r="G18" s="535"/>
      <c r="H18" s="133" t="s">
        <v>164</v>
      </c>
      <c r="O18" s="277" t="str">
        <f>IF(P18=1, "&lt;===", "")</f>
        <v/>
      </c>
      <c r="P18" s="278" t="str">
        <f>IF(OR(AND(D18="", D417&lt;&gt;""), AND(H18="",D417&lt;&gt;"")), 1, "")</f>
        <v/>
      </c>
      <c r="R18" s="3" t="s">
        <v>75</v>
      </c>
      <c r="S18" s="3">
        <f>IF(AND(N187&lt;100%,N187&lt;&gt;0%),32,14)</f>
        <v>14</v>
      </c>
      <c r="T18" s="260"/>
    </row>
    <row r="19" spans="1:20" x14ac:dyDescent="0.25">
      <c r="C19" s="171"/>
      <c r="P19" s="3"/>
      <c r="R19" s="3" t="s">
        <v>76</v>
      </c>
      <c r="S19" s="3">
        <f>IF(OR(G233=1,G233=2),14,IF(OR(G233=3,G233=4),33,IF(OR(G233=5,G233=6),51,IF(OR(G233=7,G233=8),69,IF(OR(G233=9,G233=10),87,14)))))</f>
        <v>14</v>
      </c>
      <c r="T19" s="260"/>
    </row>
    <row r="20" spans="1:20" s="100" customFormat="1" x14ac:dyDescent="0.25">
      <c r="A20" s="17"/>
      <c r="C20" s="171"/>
      <c r="P20" s="3"/>
      <c r="R20" s="3"/>
      <c r="S20" s="3"/>
      <c r="T20" s="260"/>
    </row>
    <row r="21" spans="1:20" s="100" customFormat="1" ht="18.75" x14ac:dyDescent="0.25">
      <c r="A21" s="17"/>
      <c r="C21" s="102" t="s">
        <v>31</v>
      </c>
      <c r="D21" s="543" t="s">
        <v>165</v>
      </c>
      <c r="E21" s="543"/>
      <c r="F21" s="543"/>
      <c r="O21" s="277" t="str">
        <f>IF(P21=1, "&lt;===", "")</f>
        <v/>
      </c>
      <c r="P21" s="278" t="str">
        <f>IF(AND(D21="Please Select", D417&lt;&gt;""), 1, "")</f>
        <v/>
      </c>
      <c r="R21" s="3" t="s">
        <v>78</v>
      </c>
      <c r="S21" s="3">
        <f>IF(G201&lt;&gt;"",14,14)</f>
        <v>14</v>
      </c>
      <c r="T21" s="260"/>
    </row>
    <row r="22" spans="1:20" x14ac:dyDescent="0.25">
      <c r="P22" s="3"/>
      <c r="R22" s="3" t="s">
        <v>79</v>
      </c>
      <c r="S22" s="3">
        <f>IF(G301&lt;&gt;"",14,14)</f>
        <v>14</v>
      </c>
      <c r="T22" s="260"/>
    </row>
    <row r="23" spans="1:20" s="132" customFormat="1" x14ac:dyDescent="0.25">
      <c r="A23" s="17"/>
      <c r="P23" s="260"/>
    </row>
    <row r="24" spans="1:20" s="110" customFormat="1" x14ac:dyDescent="0.25">
      <c r="A24" s="17"/>
      <c r="P24" s="260"/>
      <c r="R24" s="276"/>
    </row>
    <row r="25" spans="1:20" s="110" customFormat="1" ht="51" customHeight="1" x14ac:dyDescent="0.25">
      <c r="A25" s="17"/>
      <c r="C25" s="22" t="str">
        <f>"Did cohorts (classes) graduate in the 
" &amp;D4 &amp; " calendar year?"</f>
        <v>Did cohorts (classes) graduate in the 
2018 calendar year?</v>
      </c>
      <c r="D25" s="547" t="s">
        <v>166</v>
      </c>
      <c r="E25" s="547"/>
      <c r="F25" s="127"/>
      <c r="G25" s="552" t="str">
        <f>IF(D25="No","The sponsor's website should post the statement: 'No graduates during the " &amp;D4 &amp; " reporting year'.  If the program has previous reported outcomes, then those outcomes should remain and the statement should also be added.","")</f>
        <v/>
      </c>
      <c r="H25" s="552"/>
      <c r="I25" s="552"/>
      <c r="J25" s="552"/>
      <c r="K25" s="552"/>
      <c r="L25" s="552"/>
      <c r="M25" s="552"/>
      <c r="N25" s="284"/>
      <c r="O25" s="277" t="str">
        <f>IF(P25=1, "&lt;===", "")</f>
        <v/>
      </c>
      <c r="P25" s="278" t="str">
        <f>IF(AND(D25="Please Select", D417&lt;&gt;""), 1, "")</f>
        <v/>
      </c>
    </row>
    <row r="26" spans="1:20" s="110" customFormat="1" x14ac:dyDescent="0.25">
      <c r="A26" s="17"/>
      <c r="P26" s="3"/>
    </row>
    <row r="27" spans="1:20" s="100" customFormat="1" x14ac:dyDescent="0.25">
      <c r="A27" s="17"/>
      <c r="O27" s="282"/>
      <c r="P27" s="3"/>
    </row>
    <row r="28" spans="1:20" s="100" customFormat="1" ht="51.75" customHeight="1" x14ac:dyDescent="0.25">
      <c r="A28" s="17"/>
      <c r="C28" s="497" t="s">
        <v>88</v>
      </c>
      <c r="D28" s="497"/>
      <c r="E28" s="550" t="s">
        <v>167</v>
      </c>
      <c r="F28" s="551"/>
      <c r="G28" s="551"/>
      <c r="H28" s="551"/>
      <c r="I28" s="551"/>
      <c r="J28" s="551"/>
      <c r="K28" s="551"/>
      <c r="L28" s="551"/>
      <c r="M28" s="551"/>
      <c r="N28" s="551"/>
      <c r="O28" s="285" t="str">
        <f>IF(P28=1, "&lt;===", "")</f>
        <v/>
      </c>
      <c r="P28" s="297" t="str">
        <f>IF(AND(E28="", D417&lt;&gt;""), 1, "")</f>
        <v/>
      </c>
    </row>
    <row r="29" spans="1:20" s="280" customFormat="1" x14ac:dyDescent="0.25">
      <c r="A29" s="17"/>
      <c r="P29" s="260"/>
    </row>
    <row r="30" spans="1:20" ht="15" customHeight="1" x14ac:dyDescent="0.25">
      <c r="B30" s="494" t="s">
        <v>86</v>
      </c>
      <c r="C30" s="494"/>
      <c r="D30" s="544" t="s">
        <v>85</v>
      </c>
      <c r="E30" s="544"/>
      <c r="F30" s="544"/>
      <c r="G30" s="544"/>
      <c r="H30" s="544"/>
      <c r="I30" s="544"/>
      <c r="J30" s="544"/>
      <c r="K30" s="544"/>
      <c r="L30" s="544"/>
      <c r="M30" s="544"/>
      <c r="N30" s="544"/>
    </row>
    <row r="31" spans="1:20" ht="22.5" customHeight="1" x14ac:dyDescent="0.25">
      <c r="B31" s="494"/>
      <c r="C31" s="494"/>
      <c r="D31" s="544"/>
      <c r="E31" s="544"/>
      <c r="F31" s="544"/>
      <c r="G31" s="544"/>
      <c r="H31" s="544"/>
      <c r="I31" s="544"/>
      <c r="J31" s="544"/>
      <c r="K31" s="544"/>
      <c r="L31" s="544"/>
      <c r="M31" s="544"/>
      <c r="N31" s="544"/>
    </row>
    <row r="32" spans="1:20" ht="10.5" customHeight="1" x14ac:dyDescent="0.25">
      <c r="B32" s="495"/>
      <c r="C32" s="495"/>
      <c r="D32" s="495"/>
      <c r="E32" s="495"/>
      <c r="F32" s="495"/>
      <c r="G32" s="495"/>
      <c r="H32" s="495"/>
      <c r="I32" s="495"/>
      <c r="J32" s="495"/>
      <c r="K32" s="495"/>
      <c r="L32" s="495"/>
      <c r="M32" s="495"/>
      <c r="N32" s="495"/>
    </row>
    <row r="33" spans="1:68" ht="15" customHeight="1" x14ac:dyDescent="0.25">
      <c r="B33" s="494" t="s">
        <v>87</v>
      </c>
      <c r="C33" s="494"/>
      <c r="D33" s="544" t="s">
        <v>92</v>
      </c>
      <c r="E33" s="544"/>
      <c r="F33" s="544"/>
      <c r="G33" s="544"/>
      <c r="H33" s="544"/>
      <c r="I33" s="544"/>
      <c r="J33" s="544"/>
      <c r="K33" s="544"/>
      <c r="L33" s="544"/>
      <c r="M33" s="544"/>
      <c r="N33" s="544"/>
    </row>
    <row r="34" spans="1:68" ht="34.5" customHeight="1" x14ac:dyDescent="0.25">
      <c r="B34" s="494"/>
      <c r="C34" s="494"/>
      <c r="D34" s="544"/>
      <c r="E34" s="544"/>
      <c r="F34" s="544"/>
      <c r="G34" s="544"/>
      <c r="H34" s="544"/>
      <c r="I34" s="544"/>
      <c r="J34" s="544"/>
      <c r="K34" s="544"/>
      <c r="L34" s="544"/>
      <c r="M34" s="544"/>
      <c r="N34" s="544"/>
      <c r="O34" s="305"/>
    </row>
    <row r="35" spans="1:68" s="100" customFormat="1" x14ac:dyDescent="0.25">
      <c r="A35" s="17"/>
      <c r="P35" s="260"/>
    </row>
    <row r="36" spans="1:68" ht="44.25" customHeight="1" x14ac:dyDescent="0.25">
      <c r="B36" s="548" t="s">
        <v>5</v>
      </c>
      <c r="C36" s="548"/>
      <c r="D36" s="548"/>
      <c r="E36" s="548"/>
      <c r="F36" s="548"/>
      <c r="G36" s="548"/>
      <c r="H36" s="548"/>
      <c r="I36" s="548"/>
      <c r="J36" s="548"/>
      <c r="K36" s="548"/>
      <c r="L36" s="549" t="s">
        <v>89</v>
      </c>
      <c r="M36" s="549"/>
      <c r="N36" s="549"/>
    </row>
    <row r="37" spans="1:68" s="19" customFormat="1" x14ac:dyDescent="0.25">
      <c r="A37" s="17"/>
      <c r="P37" s="260"/>
    </row>
    <row r="40" spans="1:68" s="26" customFormat="1" x14ac:dyDescent="0.25">
      <c r="A40" s="17"/>
      <c r="P40" s="260"/>
    </row>
    <row r="41" spans="1:68" s="26" customFormat="1" ht="32.25" customHeight="1" x14ac:dyDescent="0.25">
      <c r="A41" s="17"/>
      <c r="B41" s="34" t="s">
        <v>13</v>
      </c>
      <c r="C41" s="29"/>
      <c r="D41" s="29"/>
      <c r="E41" s="29"/>
      <c r="F41" s="29"/>
      <c r="G41" s="29"/>
      <c r="H41" s="29"/>
      <c r="I41" s="29"/>
      <c r="J41" s="29"/>
      <c r="K41" s="29"/>
      <c r="L41" s="29"/>
      <c r="M41" s="29"/>
      <c r="N41" s="29"/>
      <c r="P41" s="260"/>
    </row>
    <row r="42" spans="1:68" s="26" customFormat="1" ht="15" customHeight="1" x14ac:dyDescent="0.25">
      <c r="A42" s="17"/>
      <c r="B42" s="24"/>
      <c r="C42" s="25">
        <f>$D$14</f>
        <v>600045</v>
      </c>
      <c r="D42" s="408" t="str">
        <f>$D$16</f>
        <v>Youngstown State University</v>
      </c>
      <c r="E42" s="408"/>
      <c r="F42" s="408"/>
      <c r="G42" s="408"/>
      <c r="H42" s="408"/>
      <c r="I42" s="408"/>
      <c r="J42" s="408"/>
      <c r="K42" s="408"/>
      <c r="P42" s="441">
        <f>IF(P48&lt;&gt;"",$D$14,"")</f>
        <v>600045</v>
      </c>
      <c r="Q42" s="441"/>
      <c r="R42" s="448" t="str">
        <f>IF(P48&lt;&gt;"",$D$16,"")</f>
        <v>Youngstown State University</v>
      </c>
      <c r="S42" s="448"/>
      <c r="T42" s="448"/>
      <c r="U42" s="448"/>
      <c r="V42" s="448"/>
      <c r="W42" s="448"/>
      <c r="X42" s="448"/>
      <c r="Y42" s="448"/>
      <c r="Z42" s="448"/>
      <c r="AA42" s="448"/>
      <c r="AI42" s="441">
        <f>IF(P48&lt;&gt;"",$D$14,"")</f>
        <v>600045</v>
      </c>
      <c r="AJ42" s="441"/>
      <c r="AK42" s="448" t="str">
        <f>IF(P48&lt;&gt;"",$D$16,"")</f>
        <v>Youngstown State University</v>
      </c>
      <c r="AL42" s="448"/>
      <c r="AM42" s="448"/>
      <c r="AN42" s="448"/>
      <c r="AO42" s="448"/>
      <c r="AP42" s="448"/>
      <c r="AQ42" s="448"/>
      <c r="AR42" s="448"/>
      <c r="AS42" s="448"/>
      <c r="AT42" s="448"/>
      <c r="BB42" s="441">
        <f>IF(P48&lt;&gt;"",$D$14,"")</f>
        <v>600045</v>
      </c>
      <c r="BC42" s="441"/>
      <c r="BD42" s="611" t="str">
        <f>IF(P48&lt;&gt;"",$D$16,"")</f>
        <v>Youngstown State University</v>
      </c>
      <c r="BE42" s="611"/>
      <c r="BF42" s="611"/>
      <c r="BG42" s="611"/>
      <c r="BH42" s="611"/>
      <c r="BI42" s="611"/>
      <c r="BJ42" s="611"/>
      <c r="BK42" s="611"/>
      <c r="BL42" s="612" t="str">
        <f>IF(P48&lt;&gt;"", "&lt;== Once the analysis and action plan questions 
        have been completed, CLICK HERE to proceed
        to the next section or scroll back", "")</f>
        <v>&lt;== Once the analysis and action plan questions 
        have been completed, CLICK HERE to proceed
        to the next section or scroll back</v>
      </c>
      <c r="BM42" s="612"/>
      <c r="BN42" s="612"/>
      <c r="BO42" s="612"/>
      <c r="BP42" s="612"/>
    </row>
    <row r="43" spans="1:68" s="26" customFormat="1" x14ac:dyDescent="0.25">
      <c r="A43" s="17"/>
      <c r="E43" s="215"/>
      <c r="J43" s="496" t="str">
        <f>IF(AND(G44&lt;&gt;"", G44=0), "The Program does not have any graduates for the current annual reporting year.  Please scroll down to complete the Satellite, RAM, and General Information sections.","")</f>
        <v/>
      </c>
      <c r="K43" s="496"/>
      <c r="L43" s="496"/>
      <c r="M43" s="496"/>
      <c r="N43" s="496"/>
      <c r="P43" s="260"/>
      <c r="R43" s="448" t="str">
        <f>IF(P48&lt;&gt;"","Retention/Attrition","")</f>
        <v>Retention/Attrition</v>
      </c>
      <c r="S43" s="448"/>
      <c r="T43" s="448"/>
      <c r="U43" s="448"/>
      <c r="V43" s="448"/>
      <c r="W43" s="448"/>
      <c r="AK43" s="448" t="str">
        <f>IF(P48&lt;&gt;"","Retention/Attrition","")</f>
        <v>Retention/Attrition</v>
      </c>
      <c r="AL43" s="448"/>
      <c r="AM43" s="448"/>
      <c r="AN43" s="448"/>
      <c r="AO43" s="448"/>
      <c r="BD43" s="448" t="str">
        <f>IF(P48&lt;&gt;"","Retention/Attrition","")</f>
        <v>Retention/Attrition</v>
      </c>
      <c r="BE43" s="448"/>
      <c r="BF43" s="448"/>
      <c r="BG43" s="448"/>
      <c r="BH43" s="448"/>
      <c r="BL43" s="612"/>
      <c r="BM43" s="612"/>
      <c r="BN43" s="612"/>
      <c r="BO43" s="612"/>
      <c r="BP43" s="612"/>
    </row>
    <row r="44" spans="1:68" s="53" customFormat="1" ht="38.25" customHeight="1" x14ac:dyDescent="0.25">
      <c r="A44" s="17"/>
      <c r="B44" s="537" t="str">
        <f>"Number of cohorts (classes) that graduated in " &amp;D4 &amp; ":"</f>
        <v>Number of cohorts (classes) that graduated in 2018:</v>
      </c>
      <c r="C44" s="537"/>
      <c r="D44" s="537"/>
      <c r="E44" s="537"/>
      <c r="F44" s="538"/>
      <c r="G44" s="539">
        <v>1</v>
      </c>
      <c r="H44" s="540"/>
      <c r="J44" s="496"/>
      <c r="K44" s="496"/>
      <c r="L44" s="496"/>
      <c r="M44" s="496"/>
      <c r="N44" s="496"/>
      <c r="O44" s="285" t="str">
        <f>IF(P44=1, "&lt;===", "")</f>
        <v/>
      </c>
      <c r="P44" s="278" t="str">
        <f>IF(AND(G44="Please Select", D417&lt;&gt;""), 1, "")</f>
        <v/>
      </c>
      <c r="BL44" s="612"/>
      <c r="BM44" s="612"/>
      <c r="BN44" s="612"/>
      <c r="BO44" s="612"/>
      <c r="BP44" s="612"/>
    </row>
    <row r="45" spans="1:68" s="48" customFormat="1" ht="18.75" customHeight="1" x14ac:dyDescent="0.25">
      <c r="A45" s="17"/>
      <c r="J45" s="496"/>
      <c r="K45" s="496"/>
      <c r="L45" s="496"/>
      <c r="M45" s="496"/>
      <c r="N45" s="496"/>
      <c r="O45" s="256"/>
      <c r="P45" s="260"/>
    </row>
    <row r="46" spans="1:68" s="53" customFormat="1" x14ac:dyDescent="0.25">
      <c r="A46" s="17"/>
      <c r="J46" s="256"/>
      <c r="P46" s="260"/>
    </row>
    <row r="47" spans="1:68" s="47" customFormat="1" ht="23.25" customHeight="1" x14ac:dyDescent="0.25">
      <c r="A47" s="264"/>
      <c r="B47" s="49" t="s">
        <v>28</v>
      </c>
      <c r="C47" s="40"/>
      <c r="D47" s="40"/>
      <c r="E47" s="40"/>
      <c r="F47" s="40"/>
      <c r="G47" s="40"/>
      <c r="H47" s="40"/>
      <c r="I47" s="40"/>
      <c r="J47" s="40"/>
      <c r="K47" s="40"/>
      <c r="L47" s="40"/>
      <c r="M47" s="40"/>
      <c r="N47" s="41"/>
      <c r="P47" s="286"/>
    </row>
    <row r="48" spans="1:68" s="48" customFormat="1" ht="92.25" customHeight="1" x14ac:dyDescent="0.25">
      <c r="A48" s="265"/>
      <c r="B48" s="470" t="str">
        <f>"The Retention threshold set by the CoAEMSP is 70% and based on the percentage of students who started on the enrollment date (who began Paramedic coursework) who are enrolled and graduated.  The success of Retention" &amp;" will be computed using the total number of students that completed in the most recent reporting year ("&amp;D4&amp;") and is calculated by determining Attrition (the number of students who dropped out divided by the total number of students enrolled)." &amp;"  Once the Attrition percentage has been determined, then the Retention percentage is 100% minus the Attrition percentage." &amp; "  Students will be not counted as attrition if they withdraw or are dropped from the program before a maximum of 25% of the total Paramedic educational program hours" &amp; " including all phases (i.e., didactic, lab, clinical, field experience, and capstone field internship) are concluded."</f>
        <v>The Retention threshold set by the CoAEMSP is 70% and based on the percentage of students who started on the enrollment date (who began Paramedic coursework) who are enrolled and graduated.  The success of Retention will be computed using the total number of students that completed in the most recent reporting year (2018) and is calculated by determining Attrition (the number of students who dropped out divided by the total number of students enrolled).  Once the Attrition percentage has been determined, then the Retention percentage is 100% minus the Attrition percentage.  Students will be not counted as attrition if they withdraw or are dropped from the program before a maximum of 25% of the total Paramedic educational program hours including all phases (i.e., didactic, lab, clinical, field experience, and capstone field internship) are concluded.</v>
      </c>
      <c r="C48" s="471"/>
      <c r="D48" s="471"/>
      <c r="E48" s="471"/>
      <c r="F48" s="471"/>
      <c r="G48" s="471"/>
      <c r="H48" s="471"/>
      <c r="I48" s="471"/>
      <c r="J48" s="471"/>
      <c r="K48" s="471"/>
      <c r="L48" s="471"/>
      <c r="M48" s="471"/>
      <c r="N48" s="472"/>
      <c r="P48" s="304" t="str">
        <f>IF(AND(B67="The outcome threshold of 70% has not been met.  
Please complete the analysis and action plan questions to the right ==&gt;.",B68=""),"1)","")</f>
        <v>1)</v>
      </c>
      <c r="Q48" s="459" t="str">
        <f>IF(P48&lt;&gt;"","Specifically at what point at the start of the Paramedic program do you take the official count of students in the program?","")</f>
        <v>Specifically at what point at the start of the Paramedic program do you take the official count of students in the program?</v>
      </c>
      <c r="R48" s="459"/>
      <c r="S48" s="459"/>
      <c r="T48" s="459"/>
      <c r="U48" s="459"/>
      <c r="V48" s="459"/>
      <c r="W48" s="459"/>
      <c r="Y48" s="11" t="str">
        <f>IF(P48&lt;&gt;"","4)","")</f>
        <v>4)</v>
      </c>
      <c r="Z48" s="449" t="str">
        <f>IF(P48&lt;&gt;"","During the admissions process, are the students adequately informed of the demands of the program and the profession (e.g., academic, time commitment, types of skills to be performed)?","")</f>
        <v>During the admissions process, are the students adequately informed of the demands of the program and the profession (e.g., academic, time commitment, types of skills to be performed)?</v>
      </c>
      <c r="AA48" s="449"/>
      <c r="AB48" s="449"/>
      <c r="AC48" s="449"/>
      <c r="AD48" s="449"/>
      <c r="AE48" s="449"/>
      <c r="AF48" s="449"/>
      <c r="AH48" s="11" t="str">
        <f>IF(P48&lt;&gt;"","7)","")</f>
        <v>7)</v>
      </c>
      <c r="AI48" s="449" t="str">
        <f>IF(P48&lt;&gt;"","Does the program have standardized admissions testing?","")</f>
        <v>Does the program have standardized admissions testing?</v>
      </c>
      <c r="AJ48" s="449"/>
      <c r="AK48" s="449"/>
      <c r="AL48" s="449"/>
      <c r="AM48" s="449"/>
      <c r="AN48" s="449"/>
      <c r="AO48" s="449"/>
      <c r="AQ48" s="106" t="str">
        <f>IF(AI49="Please Select","",IF(AI49="Yes","10)",IF(AI49="No","8)","")))</f>
        <v/>
      </c>
      <c r="AR48" s="449" t="str">
        <f>IF(AI49="Please Select","",IF(AI49="Yes","Is there a pattern or trend associated with attrition due to EMS / professional courses and/or general education courses over a 3-year period?",IF(AI49="No","Is there a pattern or trend associated with attrition due to EMS / professional courses and/or general education courses over a 3-year period?","")))</f>
        <v/>
      </c>
      <c r="AS48" s="449"/>
      <c r="AT48" s="449"/>
      <c r="AU48" s="449"/>
      <c r="AV48" s="449"/>
      <c r="AW48" s="449"/>
      <c r="AX48" s="449"/>
      <c r="AZ48" s="106" t="str">
        <f>IF(AI49="Please Select","",IF(AI49="Yes","12)",IF(AI49="No","10)","")))</f>
        <v/>
      </c>
      <c r="BA48" s="449" t="str">
        <f>IF(AI49="Please Select","",IF(AI49="Yes","Is there a pattern or trend associated with attrition due to particular non-academic reasons?",IF(AI49="No","Is there a pattern or trend associated with attrition due to particular non-academic reasons?","")))</f>
        <v/>
      </c>
      <c r="BB48" s="449"/>
      <c r="BC48" s="449"/>
      <c r="BD48" s="449"/>
      <c r="BE48" s="449"/>
      <c r="BF48" s="449"/>
      <c r="BG48" s="449"/>
      <c r="BI48" s="106" t="str">
        <f>IF(AI49="Please Select","",IF(AI49="Yes","14)",IF(AI49="No","12)","")))</f>
        <v/>
      </c>
      <c r="BJ48" s="449" t="str">
        <f>IF(AI49="Please Select","",IF(AI49="Yes","List specific conclusions resulting from your analysis:",IF(AI49="No","List specific conclusions resulting from your analysis:","")))</f>
        <v/>
      </c>
      <c r="BK48" s="449"/>
      <c r="BL48" s="449"/>
      <c r="BM48" s="449"/>
      <c r="BN48" s="449"/>
      <c r="BO48" s="449"/>
      <c r="BP48" s="449"/>
    </row>
    <row r="49" spans="1:69" s="48" customFormat="1" ht="30" x14ac:dyDescent="0.25">
      <c r="A49" s="265"/>
      <c r="B49" s="477" t="s">
        <v>27</v>
      </c>
      <c r="C49" s="478"/>
      <c r="D49" s="479"/>
      <c r="E49" s="30" t="str">
        <f>IF(AND($G$44&gt;=1,$G$44&lt;&gt;"Please Select"),"Cohort 
#1:","")</f>
        <v>Cohort 
#1:</v>
      </c>
      <c r="F49" s="31" t="str">
        <f>IF(AND($G$44&gt;=2,$G$44&lt;&gt;"Please Select"),"Cohort 
#2:", "")</f>
        <v/>
      </c>
      <c r="G49" s="31" t="str">
        <f>IF(AND($G$44&gt;=3,$G$44&lt;&gt;"Please Select"), "Cohort 
#3:","")</f>
        <v/>
      </c>
      <c r="H49" s="31" t="str">
        <f>IF(AND($G$44&gt;=4,$G$44&lt;&gt;"Please Select"), "Cohort 
#4:","")</f>
        <v/>
      </c>
      <c r="I49" s="31" t="str">
        <f>IF(AND($G$44&gt;=5,$G$44&lt;&gt;"Please Select"), "Cohort 
#5:","")</f>
        <v/>
      </c>
      <c r="J49" s="31" t="str">
        <f>IF(AND($G$44&gt;=6, $G$44&lt;&gt;"Please Select"),"Cohort 
#6:","")</f>
        <v/>
      </c>
      <c r="K49" s="31" t="str">
        <f>IF(AND($G$44&gt;=7,$G$44&lt;&gt;"Please Select"), "Cohort 
#7:","")</f>
        <v/>
      </c>
      <c r="L49" s="31" t="str">
        <f>IF(AND($G$44&gt;=8, $G$44&lt;&gt;"Please Select"),"Cohort 
#8:","")</f>
        <v/>
      </c>
      <c r="M49" s="31" t="str">
        <f>IF(AND($G$44&gt;=9,$G$44&lt;&gt;"Please Select"), "Cohort 
#9:","")</f>
        <v/>
      </c>
      <c r="N49" s="31" t="s">
        <v>18</v>
      </c>
      <c r="P49" s="288"/>
      <c r="Q49" s="474" t="s">
        <v>168</v>
      </c>
      <c r="R49" s="474"/>
      <c r="S49" s="474"/>
      <c r="T49" s="474"/>
      <c r="U49" s="349"/>
      <c r="V49" s="93"/>
      <c r="W49" s="278" t="str">
        <f>IF(AND(P48&lt;&gt;"", Q49="Please Select",D417&lt;&gt;""),1, "")</f>
        <v/>
      </c>
      <c r="X49" s="343" t="str">
        <f>IF(W49=1,"&lt;===", "")</f>
        <v/>
      </c>
      <c r="Z49" s="451" t="s">
        <v>166</v>
      </c>
      <c r="AA49" s="451"/>
      <c r="AF49" s="278" t="str">
        <f>IF(AND(P48&lt;&gt;"", Z49="Please Select",D417&lt;&gt;""),1, "")</f>
        <v/>
      </c>
      <c r="AG49" s="356" t="str">
        <f>IF(AF49=1,"&lt;===", "")</f>
        <v/>
      </c>
      <c r="AI49" s="451" t="str">
        <f>IF(P48&lt;&gt;"","Please Select","")</f>
        <v>Please Select</v>
      </c>
      <c r="AJ49" s="451"/>
      <c r="AK49" s="84"/>
      <c r="AL49" s="84"/>
      <c r="AO49" s="278">
        <f>IF(AND(P48&lt;&gt;"", AI49="Please Select",D417&lt;&gt;""),1, "")</f>
        <v>1</v>
      </c>
      <c r="AP49" s="356" t="str">
        <f>IF(AO49=1,"&lt;===", "")</f>
        <v>&lt;===</v>
      </c>
      <c r="AR49" s="451" t="str">
        <f>IF(AI49="Yes","Please Select","")</f>
        <v/>
      </c>
      <c r="AS49" s="451"/>
      <c r="AX49" s="3" t="str">
        <f>IF(AND(P48&lt;&gt;"", AR49="Please Select",D417&lt;&gt;""),1, "")</f>
        <v/>
      </c>
      <c r="AY49" s="356" t="str">
        <f>IF(AX49=1,"&lt;===", "")</f>
        <v/>
      </c>
      <c r="BA49" s="451" t="str">
        <f>IF(AI49="Yes","Please Select","")</f>
        <v/>
      </c>
      <c r="BB49" s="451"/>
      <c r="BG49" s="278" t="str">
        <f>IF(AND(P48&lt;&gt;"", BA49="Please Select",D417&lt;&gt;""),1, "")</f>
        <v/>
      </c>
      <c r="BH49" s="356" t="str">
        <f>IF(BG49=1,"&lt;===", "")</f>
        <v/>
      </c>
      <c r="BJ49" s="433"/>
      <c r="BK49" s="433"/>
      <c r="BL49" s="433"/>
      <c r="BM49" s="433"/>
      <c r="BN49" s="433"/>
      <c r="BO49" s="433"/>
      <c r="BP49" s="433"/>
      <c r="BQ49" s="356" t="str">
        <f>IF(BQ50=1,"&lt;===", "")</f>
        <v/>
      </c>
    </row>
    <row r="50" spans="1:69" s="26" customFormat="1" ht="18" customHeight="1" x14ac:dyDescent="0.25">
      <c r="A50" s="265"/>
      <c r="B50" s="79" t="s">
        <v>20</v>
      </c>
      <c r="C50" s="78"/>
      <c r="D50" s="267" t="s">
        <v>81</v>
      </c>
      <c r="E50" s="94">
        <v>42970</v>
      </c>
      <c r="F50" s="94"/>
      <c r="G50" s="94"/>
      <c r="H50" s="94"/>
      <c r="I50" s="94"/>
      <c r="J50" s="94"/>
      <c r="K50" s="94"/>
      <c r="L50" s="94"/>
      <c r="M50" s="94"/>
      <c r="N50" s="81"/>
      <c r="P50" s="260"/>
      <c r="AK50" s="84"/>
      <c r="AL50" s="84"/>
      <c r="BJ50" s="433"/>
      <c r="BK50" s="433"/>
      <c r="BL50" s="433"/>
      <c r="BM50" s="433"/>
      <c r="BN50" s="433"/>
      <c r="BO50" s="433"/>
      <c r="BP50" s="433"/>
      <c r="BQ50" s="3" t="str">
        <f>IF(AND(P48&lt;&gt;"",AI49&lt;&gt;"Please Select",BJ49="",D417&lt;&gt;""),1, "")</f>
        <v/>
      </c>
    </row>
    <row r="51" spans="1:69" s="26" customFormat="1" ht="18" customHeight="1" x14ac:dyDescent="0.25">
      <c r="A51" s="265"/>
      <c r="B51" s="520" t="s">
        <v>14</v>
      </c>
      <c r="C51" s="521"/>
      <c r="D51" s="268" t="s">
        <v>81</v>
      </c>
      <c r="E51" s="82">
        <v>43448</v>
      </c>
      <c r="F51" s="82"/>
      <c r="G51" s="82"/>
      <c r="H51" s="82"/>
      <c r="I51" s="82"/>
      <c r="J51" s="82"/>
      <c r="K51" s="82"/>
      <c r="L51" s="82"/>
      <c r="M51" s="82"/>
      <c r="N51" s="83"/>
      <c r="O51" s="54"/>
      <c r="P51" s="289"/>
      <c r="AK51" s="5"/>
      <c r="AL51" s="84"/>
      <c r="AR51" s="6"/>
      <c r="AS51" s="6"/>
      <c r="AT51" s="6"/>
      <c r="AU51" s="6"/>
      <c r="AV51" s="6"/>
      <c r="AW51" s="6"/>
      <c r="AX51" s="6"/>
      <c r="BJ51" s="433"/>
      <c r="BK51" s="433"/>
      <c r="BL51" s="433"/>
      <c r="BM51" s="433"/>
      <c r="BN51" s="433"/>
      <c r="BO51" s="433"/>
      <c r="BP51" s="433"/>
    </row>
    <row r="52" spans="1:69" s="26" customFormat="1" ht="18" customHeight="1" x14ac:dyDescent="0.25">
      <c r="A52" s="265"/>
      <c r="B52" s="306" t="s">
        <v>29</v>
      </c>
      <c r="C52" s="181"/>
      <c r="D52" s="181"/>
      <c r="E52" s="178">
        <v>7</v>
      </c>
      <c r="F52" s="179"/>
      <c r="G52" s="179"/>
      <c r="H52" s="179"/>
      <c r="I52" s="179"/>
      <c r="J52" s="179"/>
      <c r="K52" s="179"/>
      <c r="L52" s="179"/>
      <c r="M52" s="179"/>
      <c r="N52" s="180">
        <f>IF(SUM(E52:M52)=0,"",SUM(E52:M52))</f>
        <v>7</v>
      </c>
      <c r="P52" s="290" t="str">
        <f>IF(P48&lt;&gt;"","2)","")</f>
        <v>2)</v>
      </c>
      <c r="Q52" s="449" t="str">
        <f>IF(P48&lt;&gt;"","Do you have a selective admissions process?","")</f>
        <v>Do you have a selective admissions process?</v>
      </c>
      <c r="R52" s="449"/>
      <c r="S52" s="449"/>
      <c r="T52" s="449"/>
      <c r="U52" s="449"/>
      <c r="V52" s="449"/>
      <c r="W52" s="449"/>
      <c r="Y52" s="104" t="str">
        <f>IF(AND(N66&lt;&gt;0,N66&lt;0.7,B68=""),"5)","")</f>
        <v>5)</v>
      </c>
      <c r="Z52" s="432" t="str">
        <f>IF(P48&lt;&gt;"","During the admissions process, are students apprised of the professional behavior expectations of the program and profession (i.e., affective domain)?","")</f>
        <v>During the admissions process, are students apprised of the professional behavior expectations of the program and profession (i.e., affective domain)?</v>
      </c>
      <c r="AA52" s="432"/>
      <c r="AB52" s="432"/>
      <c r="AC52" s="432"/>
      <c r="AD52" s="432"/>
      <c r="AE52" s="432"/>
      <c r="AF52" s="432"/>
      <c r="AH52" s="11" t="str">
        <f>IF(AI49="Yes","8)","")</f>
        <v/>
      </c>
      <c r="AI52" s="432" t="str">
        <f>IF(AI49="Yes","Are the standardized tests/assessments used only to place students in appropriate writing and/or reading and/or math courses?",IF(AI49="No","          Proceed to next question to the right ==&gt;",""))</f>
        <v/>
      </c>
      <c r="AJ52" s="432"/>
      <c r="AK52" s="432"/>
      <c r="AL52" s="432"/>
      <c r="AM52" s="432"/>
      <c r="AN52" s="432"/>
      <c r="AO52" s="432"/>
      <c r="AQ52" s="106" t="str">
        <f>IF(AND(P48="",AI49="Please Select"),"",IF(AND(P48&lt;&gt;"",AI49="Yes"),"11)",IF(AND(P48&lt;&gt;"",AI49="No"),"9)","")))</f>
        <v/>
      </c>
      <c r="AR52" s="432" t="str">
        <f>IF(AI49="Please Select","",IF(AI49="Yes","Is there a particular course(s) or content area(s) that causes the high attrition?",IF(AI49="No","Is there a particular course(s) or content area(s) that causes the high attrition?","")))</f>
        <v/>
      </c>
      <c r="AS52" s="432"/>
      <c r="AT52" s="432"/>
      <c r="AU52" s="432"/>
      <c r="AV52" s="432"/>
      <c r="AW52" s="432"/>
      <c r="AX52" s="432"/>
      <c r="AZ52" s="106" t="str">
        <f>IF(AI49="Please Select","",IF(AI49="Yes","13)",IF(AI49="No","11)","")))</f>
        <v/>
      </c>
      <c r="BA52" s="456" t="str">
        <f>IF(AI49="Please Select","",IF(AI49="Yes","Is there high attrition due to disciplinary actions?",IF(AI49="No","Is there high attrition due to disciplinary actions?","")))</f>
        <v/>
      </c>
      <c r="BB52" s="456"/>
      <c r="BC52" s="456"/>
      <c r="BD52" s="456"/>
      <c r="BE52" s="456"/>
      <c r="BF52" s="456"/>
      <c r="BG52" s="456"/>
      <c r="BJ52" s="433"/>
      <c r="BK52" s="433"/>
      <c r="BL52" s="433"/>
      <c r="BM52" s="433"/>
      <c r="BN52" s="433"/>
      <c r="BO52" s="433"/>
      <c r="BP52" s="433"/>
    </row>
    <row r="53" spans="1:69" s="26" customFormat="1" ht="44.25" customHeight="1" x14ac:dyDescent="0.25">
      <c r="A53" s="265"/>
      <c r="B53" s="462" t="s">
        <v>82</v>
      </c>
      <c r="C53" s="463"/>
      <c r="D53" s="463"/>
      <c r="E53" s="463"/>
      <c r="F53" s="463"/>
      <c r="G53" s="463"/>
      <c r="H53" s="463"/>
      <c r="I53" s="463"/>
      <c r="J53" s="463"/>
      <c r="K53" s="463"/>
      <c r="L53" s="463"/>
      <c r="M53" s="463"/>
      <c r="N53" s="177"/>
      <c r="P53" s="288"/>
      <c r="Q53" s="451" t="s">
        <v>169</v>
      </c>
      <c r="R53" s="451"/>
      <c r="S53" s="101"/>
      <c r="T53" s="101"/>
      <c r="U53" s="101"/>
      <c r="V53" s="101"/>
      <c r="W53" s="360" t="str">
        <f>IF(AND(P48&lt;&gt;"", Q53="Please Select",D417&lt;&gt;""),1, "")</f>
        <v/>
      </c>
      <c r="X53" s="356" t="str">
        <f>IF(W53=1,"&lt;===", "")</f>
        <v/>
      </c>
      <c r="Z53" s="432"/>
      <c r="AA53" s="432"/>
      <c r="AB53" s="432"/>
      <c r="AC53" s="432"/>
      <c r="AD53" s="432"/>
      <c r="AE53" s="432"/>
      <c r="AF53" s="432"/>
      <c r="AI53" s="432"/>
      <c r="AJ53" s="432"/>
      <c r="AK53" s="432"/>
      <c r="AL53" s="432"/>
      <c r="AM53" s="432"/>
      <c r="AN53" s="432"/>
      <c r="AO53" s="432"/>
      <c r="AR53" s="432"/>
      <c r="AS53" s="432"/>
      <c r="AT53" s="432"/>
      <c r="AU53" s="432"/>
      <c r="AV53" s="432"/>
      <c r="AW53" s="432"/>
      <c r="AX53" s="432"/>
      <c r="BA53" s="451" t="str">
        <f>IF(AI49="Yes","Please Select","")</f>
        <v/>
      </c>
      <c r="BB53" s="451"/>
      <c r="BG53" s="278" t="str">
        <f>IF(AND(P48&lt;&gt;"", BA53="Please Select",D417&lt;&gt;""),1, "")</f>
        <v/>
      </c>
      <c r="BH53" s="356" t="str">
        <f>IF(BG53=1,"&lt;===", "")</f>
        <v/>
      </c>
      <c r="BJ53" s="433"/>
      <c r="BK53" s="433"/>
      <c r="BL53" s="433"/>
      <c r="BM53" s="433"/>
      <c r="BN53" s="433"/>
      <c r="BO53" s="433"/>
      <c r="BP53" s="433"/>
    </row>
    <row r="54" spans="1:69" s="26" customFormat="1" ht="18" customHeight="1" x14ac:dyDescent="0.25">
      <c r="A54" s="265"/>
      <c r="B54" s="80"/>
      <c r="C54" s="216" t="s">
        <v>36</v>
      </c>
      <c r="D54" s="176"/>
      <c r="E54" s="219">
        <v>0</v>
      </c>
      <c r="F54" s="220"/>
      <c r="G54" s="220"/>
      <c r="H54" s="220"/>
      <c r="I54" s="220"/>
      <c r="J54" s="220"/>
      <c r="K54" s="220"/>
      <c r="L54" s="220"/>
      <c r="M54" s="220"/>
      <c r="N54" s="235">
        <f>IF(COUNT(E54:M54),SUM(E54:M54),"")</f>
        <v>0</v>
      </c>
      <c r="O54" s="296" t="str">
        <f>IF(P54=1, "&lt;===", "")</f>
        <v/>
      </c>
      <c r="P54" s="298" t="str">
        <f>IF(OR(AND(E52&lt;&gt;"",E54="",D417&lt;&gt;""),AND(F52&lt;&gt;"",F54="",D417&lt;&gt;""),AND(G52&lt;&gt;"",G54="",D417&lt;&gt;""),AND(H52&lt;&gt;"",H54="",D417&lt;&gt;""),AND(I52&lt;&gt;"",I54="",D417&lt;&gt;""),AND(J52&lt;&gt;"",J54="",D417&lt;&gt;""),AND(K52&lt;&gt;"",K54="",D417&lt;&gt;""),AND(L52&lt;&gt;"",L54="",D417&lt;&gt;""),AND(M52&lt;&gt;"",M54="",D417&lt;&gt;"")), 1, "")</f>
        <v/>
      </c>
      <c r="Q54" s="101"/>
      <c r="R54" s="101"/>
      <c r="S54" s="101"/>
      <c r="T54" s="101"/>
      <c r="U54" s="101"/>
      <c r="V54" s="101"/>
      <c r="W54" s="101"/>
      <c r="Z54" s="432"/>
      <c r="AA54" s="432"/>
      <c r="AB54" s="432"/>
      <c r="AC54" s="432"/>
      <c r="AD54" s="432"/>
      <c r="AE54" s="432"/>
      <c r="AF54" s="432"/>
      <c r="AI54" s="451" t="str">
        <f>IF(AI49="Yes","Please Select","")</f>
        <v/>
      </c>
      <c r="AJ54" s="451"/>
      <c r="AK54" s="105"/>
      <c r="AL54" s="105"/>
      <c r="AM54" s="105"/>
      <c r="AN54" s="105"/>
      <c r="AO54" s="359" t="str">
        <f>IF(AND(P48&lt;&gt;"", AI54="Please Select",D417&lt;&gt;""),1, "")</f>
        <v/>
      </c>
      <c r="AP54" s="356" t="str">
        <f>IF(AO54=1,"&lt;===", "")</f>
        <v/>
      </c>
      <c r="AR54" s="451" t="str">
        <f>IF(AI49="Yes","Please Select","")</f>
        <v/>
      </c>
      <c r="AS54" s="451"/>
      <c r="AT54" s="6"/>
      <c r="AU54" s="6"/>
      <c r="AV54" s="6"/>
      <c r="AW54" s="6"/>
      <c r="AX54" s="358" t="str">
        <f>IF(AND(P48&lt;&gt;"", AR54="Please Select",D417&lt;&gt;""),1, "")</f>
        <v/>
      </c>
      <c r="AY54" s="356" t="str">
        <f>IF(AX54=1,"&lt;===", "")</f>
        <v/>
      </c>
      <c r="BJ54" s="433"/>
      <c r="BK54" s="433"/>
      <c r="BL54" s="433"/>
      <c r="BM54" s="433"/>
      <c r="BN54" s="433"/>
      <c r="BO54" s="433"/>
      <c r="BP54" s="433"/>
    </row>
    <row r="55" spans="1:69" s="26" customFormat="1" ht="18" customHeight="1" x14ac:dyDescent="0.25">
      <c r="A55" s="265"/>
      <c r="B55" s="75"/>
      <c r="C55" s="217" t="s">
        <v>37</v>
      </c>
      <c r="D55" s="76"/>
      <c r="E55" s="221">
        <v>0</v>
      </c>
      <c r="F55" s="221"/>
      <c r="G55" s="221"/>
      <c r="H55" s="221"/>
      <c r="I55" s="221"/>
      <c r="J55" s="221"/>
      <c r="K55" s="221"/>
      <c r="L55" s="221"/>
      <c r="M55" s="221"/>
      <c r="N55" s="89">
        <f>IF(COUNT(E55:M55),SUM(E55:M55),"")</f>
        <v>0</v>
      </c>
      <c r="O55" s="296" t="str">
        <f>IF(P55=1, "&lt;===", "")</f>
        <v/>
      </c>
      <c r="P55" s="299" t="str">
        <f>IF(OR(AND(E52&lt;&gt;"",E55="",D417&lt;&gt;""),AND(F52&lt;&gt;"",F55="",D417&lt;&gt;""),AND(G52&lt;&gt;"",G55="",D417&lt;&gt;""),AND(H52&lt;&gt;"",H55="",D417&lt;&gt;""),AND(I52&lt;&gt;"",I55="",D417&lt;&gt;""),AND(J52&lt;&gt;"",J55="",D417&lt;&gt;""),AND(K52&lt;&gt;"",K55="",D417&lt;&gt;""),AND(L52&lt;&gt;"",L55="",D417&lt;&gt;""),AND(M52&lt;&gt;"",M55="",D417&lt;&gt;"")), 1, "")</f>
        <v/>
      </c>
      <c r="Q55" s="3" t="str">
        <f>IF(OR(AND(E52&lt;&gt;"",E56="",D417&lt;&gt;""),AND(F52&lt;&gt;"",F56="",D417&lt;&gt;""),AND(G52&lt;&gt;"",G56="",D417&lt;&gt;""),AND(H52&lt;&gt;"",H56="",D417&lt;&gt;""),AND(I52&lt;&gt;"",I56="",D417&lt;&gt;""),AND(J52&lt;&gt;"",J56="",D417&lt;&gt;""),AND(K52&lt;&gt;"",K56="",D417&lt;&gt;""),AND(L52&lt;&gt;"",L56="",D417&lt;&gt;""),AND(M52&lt;&gt;"",M56="",D417&lt;&gt;"")), 1, "")</f>
        <v/>
      </c>
      <c r="Z55" s="451" t="s">
        <v>166</v>
      </c>
      <c r="AA55" s="451"/>
      <c r="AF55" s="278" t="str">
        <f>IF(AND(P48&lt;&gt;"", Z55="Please Select",D417&lt;&gt;""),1, "")</f>
        <v/>
      </c>
      <c r="AG55" s="356" t="str">
        <f>IF(AF55=1,"&lt;===", "")</f>
        <v/>
      </c>
      <c r="AK55" s="5"/>
      <c r="AL55" s="84"/>
      <c r="AR55" s="6"/>
      <c r="AS55" s="6"/>
      <c r="AT55" s="6"/>
      <c r="AU55" s="6"/>
      <c r="AV55" s="6"/>
      <c r="AW55" s="6"/>
      <c r="AX55" s="6"/>
      <c r="BA55" s="459" t="str">
        <f>IF(BA53="Yes", "Is there a pattern or trend (e.g., common behaviors) associated with the attrition due to disciplinary action(s)?","")</f>
        <v/>
      </c>
      <c r="BB55" s="459"/>
      <c r="BC55" s="459"/>
      <c r="BD55" s="459"/>
      <c r="BE55" s="459"/>
      <c r="BF55" s="459"/>
      <c r="BG55" s="459"/>
      <c r="BJ55" s="433"/>
      <c r="BK55" s="433"/>
      <c r="BL55" s="433"/>
      <c r="BM55" s="433"/>
      <c r="BN55" s="433"/>
      <c r="BO55" s="433"/>
      <c r="BP55" s="433"/>
    </row>
    <row r="56" spans="1:69" s="26" customFormat="1" ht="18" customHeight="1" x14ac:dyDescent="0.25">
      <c r="A56" s="265"/>
      <c r="B56" s="80"/>
      <c r="C56" s="216" t="s">
        <v>38</v>
      </c>
      <c r="D56" s="77"/>
      <c r="E56" s="222">
        <v>3</v>
      </c>
      <c r="F56" s="222"/>
      <c r="G56" s="222"/>
      <c r="H56" s="222"/>
      <c r="I56" s="222"/>
      <c r="J56" s="222"/>
      <c r="K56" s="222"/>
      <c r="L56" s="222"/>
      <c r="M56" s="222"/>
      <c r="N56" s="88">
        <f>IF(COUNT(E56:M56),SUM(E56:M56),"")</f>
        <v>3</v>
      </c>
      <c r="O56" s="296" t="str">
        <f>IF(Q55=1, "&lt;===", "")</f>
        <v/>
      </c>
      <c r="P56" s="290" t="str">
        <f>IF(P48&lt;&gt;"","3)","")</f>
        <v>3)</v>
      </c>
      <c r="Q56" s="473" t="str">
        <f>IF(P48&lt;&gt;"","Could there be changes to the admissions process to improve retention?","")</f>
        <v>Could there be changes to the admissions process to improve retention?</v>
      </c>
      <c r="R56" s="473"/>
      <c r="S56" s="473"/>
      <c r="T56" s="473"/>
      <c r="U56" s="473"/>
      <c r="V56" s="473"/>
      <c r="W56" s="473"/>
      <c r="AK56" s="84"/>
      <c r="AL56" s="84"/>
      <c r="AR56" s="108"/>
      <c r="AS56" s="108"/>
      <c r="AT56" s="108"/>
      <c r="AU56" s="108"/>
      <c r="AV56" s="108"/>
      <c r="AW56" s="108"/>
      <c r="AX56" s="108"/>
      <c r="BA56" s="459"/>
      <c r="BB56" s="459"/>
      <c r="BC56" s="459"/>
      <c r="BD56" s="459"/>
      <c r="BE56" s="459"/>
      <c r="BF56" s="459"/>
      <c r="BG56" s="459"/>
      <c r="BJ56" s="433"/>
      <c r="BK56" s="433"/>
      <c r="BL56" s="433"/>
      <c r="BM56" s="433"/>
      <c r="BN56" s="433"/>
      <c r="BO56" s="433"/>
      <c r="BP56" s="433"/>
    </row>
    <row r="57" spans="1:69" s="74" customFormat="1" ht="25.5" customHeight="1" x14ac:dyDescent="0.25">
      <c r="A57" s="265"/>
      <c r="B57" s="218" t="s">
        <v>59</v>
      </c>
      <c r="C57" s="32"/>
      <c r="D57" s="32"/>
      <c r="E57" s="254">
        <f>IF(OR(E54="",E55="",E56=""),"",SUM(E54:E56))</f>
        <v>3</v>
      </c>
      <c r="F57" s="254" t="str">
        <f t="shared" ref="F57:M57" si="0">IF(OR(F54="",F55="",F56=""),"",SUM(F54:F56))</f>
        <v/>
      </c>
      <c r="G57" s="254" t="str">
        <f t="shared" si="0"/>
        <v/>
      </c>
      <c r="H57" s="254" t="str">
        <f t="shared" si="0"/>
        <v/>
      </c>
      <c r="I57" s="254" t="str">
        <f t="shared" si="0"/>
        <v/>
      </c>
      <c r="J57" s="254" t="str">
        <f t="shared" si="0"/>
        <v/>
      </c>
      <c r="K57" s="254" t="str">
        <f t="shared" si="0"/>
        <v/>
      </c>
      <c r="L57" s="254" t="str">
        <f t="shared" si="0"/>
        <v/>
      </c>
      <c r="M57" s="254" t="str">
        <f t="shared" si="0"/>
        <v/>
      </c>
      <c r="N57" s="251">
        <f>IF(COUNT(N54:N56),SUM(N54:N56),"")</f>
        <v>3</v>
      </c>
      <c r="P57" s="260"/>
      <c r="Q57" s="451" t="s">
        <v>169</v>
      </c>
      <c r="R57" s="451"/>
      <c r="S57" s="103"/>
      <c r="T57" s="103"/>
      <c r="U57" s="103"/>
      <c r="V57" s="103"/>
      <c r="W57" s="300" t="str">
        <f>IF(AND(P48&lt;&gt;"", Q57="Please Select",D417&lt;&gt;""),1, "")</f>
        <v/>
      </c>
      <c r="X57" s="356" t="str">
        <f>IF(W57=1,"&lt;===", "")</f>
        <v/>
      </c>
      <c r="AK57" s="84"/>
      <c r="AL57" s="84"/>
      <c r="AR57" s="108"/>
      <c r="AS57" s="108"/>
      <c r="AT57" s="108"/>
      <c r="AU57" s="108"/>
      <c r="AV57" s="108"/>
      <c r="AW57" s="108"/>
      <c r="AX57" s="108"/>
      <c r="BA57" s="451" t="str">
        <f>IF(BA53="Yes","Please Select","")</f>
        <v/>
      </c>
      <c r="BB57" s="451"/>
      <c r="BG57" s="278" t="str">
        <f>IF(AND(P48&lt;&gt;"", BA57="Please Select",D417&lt;&gt;""),1, "")</f>
        <v/>
      </c>
      <c r="BH57" s="356" t="str">
        <f>IF(BG57=1,"&lt;===", "")</f>
        <v/>
      </c>
      <c r="BJ57" s="433"/>
      <c r="BK57" s="433"/>
      <c r="BL57" s="433"/>
      <c r="BM57" s="433"/>
      <c r="BN57" s="433"/>
      <c r="BO57" s="433"/>
      <c r="BP57" s="433"/>
    </row>
    <row r="58" spans="1:69" s="26" customFormat="1" ht="44.25" customHeight="1" x14ac:dyDescent="0.25">
      <c r="A58" s="265"/>
      <c r="B58" s="462" t="s">
        <v>56</v>
      </c>
      <c r="C58" s="463"/>
      <c r="D58" s="463"/>
      <c r="E58" s="463"/>
      <c r="F58" s="463"/>
      <c r="G58" s="463"/>
      <c r="H58" s="463"/>
      <c r="I58" s="463"/>
      <c r="J58" s="463"/>
      <c r="K58" s="463"/>
      <c r="L58" s="463"/>
      <c r="M58" s="463"/>
      <c r="N58" s="236"/>
      <c r="O58" s="53"/>
      <c r="P58" s="290"/>
      <c r="Q58" s="103"/>
      <c r="R58" s="103"/>
      <c r="S58" s="103"/>
      <c r="T58" s="103"/>
      <c r="U58" s="103"/>
      <c r="V58" s="103"/>
      <c r="W58" s="103"/>
      <c r="Y58" s="104" t="str">
        <f>IF(P48&lt;&gt;"","6)","")</f>
        <v>6)</v>
      </c>
      <c r="Z58" s="432" t="str">
        <f>IF(P48&lt;&gt;"","Is the applicant's past academic performance reviewed as part of the admissions process?","")</f>
        <v>Is the applicant's past academic performance reviewed as part of the admissions process?</v>
      </c>
      <c r="AA58" s="432"/>
      <c r="AB58" s="432"/>
      <c r="AC58" s="432"/>
      <c r="AD58" s="432"/>
      <c r="AE58" s="432"/>
      <c r="AF58" s="432"/>
      <c r="AH58" s="106" t="str">
        <f>IF(AI49="Yes","9)","")</f>
        <v/>
      </c>
      <c r="AI58" s="432" t="str">
        <f>IF(AI49="Yes","Are the standardized tests/assessments used for admissions decisions to the Paramedic program?",IF(AI49="No","          Proceed to the next question to the right==&gt;",""))</f>
        <v/>
      </c>
      <c r="AJ58" s="432"/>
      <c r="AK58" s="432"/>
      <c r="AL58" s="432"/>
      <c r="AM58" s="432"/>
      <c r="AN58" s="432"/>
      <c r="AO58" s="432"/>
      <c r="AR58" s="432" t="str">
        <f>IF(AI49="Please Select","",IF(AND(AQ48&lt;&gt;"",AR49="Yes",AR54="Yes"),"Describe the 3-year pattern or trend and identify the particular course/content area that causes high attrition:",IF(AND(AQ48&lt;&gt;"",AR49="Yes",AR54="No"),"Describe the 3-year pattern or trend that causes high attrition:",IF(AND(AQ48&lt;&gt;"",AR49="No",AR54="Yes"),"Identify the particular course/content area that causes high attrition:",IF(AND(AQ48&lt;&gt;"",AR49="No",AR54="No"),"          Proceed to the next question to the right ==&gt;","")))))</f>
        <v/>
      </c>
      <c r="AS58" s="432"/>
      <c r="AT58" s="432"/>
      <c r="AU58" s="432"/>
      <c r="AV58" s="432"/>
      <c r="AW58" s="432"/>
      <c r="AX58" s="432"/>
    </row>
    <row r="59" spans="1:69" s="26" customFormat="1" ht="18" customHeight="1" x14ac:dyDescent="0.25">
      <c r="A59" s="265"/>
      <c r="B59" s="80"/>
      <c r="C59" s="216" t="s">
        <v>39</v>
      </c>
      <c r="D59" s="77"/>
      <c r="E59" s="219">
        <v>0</v>
      </c>
      <c r="F59" s="219"/>
      <c r="G59" s="219"/>
      <c r="H59" s="219"/>
      <c r="I59" s="219"/>
      <c r="J59" s="219"/>
      <c r="K59" s="219"/>
      <c r="L59" s="219"/>
      <c r="M59" s="219"/>
      <c r="N59" s="237">
        <f>IF(COUNT(E59:M59),SUM(E59:M59),"")</f>
        <v>0</v>
      </c>
      <c r="O59" s="296" t="str">
        <f>IF(P59=1, "&lt;===", "")</f>
        <v/>
      </c>
      <c r="P59" s="364" t="str">
        <f>IF(OR(AND(E52&lt;&gt;"",E59="",D417&lt;&gt;""),AND(F52&lt;&gt;"",F59="",D417&lt;&gt;""),AND(G52&lt;&gt;"",G59="",D417&lt;&gt;""),AND(H52&lt;&gt;"",H59="",D417&lt;&gt;""),AND(I52&lt;&gt;"",I59="",D417&lt;&gt;""),AND(J52&lt;&gt;"",J59="",D417&lt;&gt;""),AND(K52&lt;&gt;"",K59="",D417&lt;&gt;""),AND(L52&lt;&gt;"",L59="",D417&lt;&gt;""),AND(M52&lt;&gt;"",M59="",D417&lt;&gt;"")), 1, "")</f>
        <v/>
      </c>
      <c r="Q59" s="450" t="str">
        <f>IF(P48&lt;&gt;"","Explain how your admissions process helps or hinders retention, as well as, any changes in the admissions process that would improve retention:","")</f>
        <v>Explain how your admissions process helps or hinders retention, as well as, any changes in the admissions process that would improve retention:</v>
      </c>
      <c r="R59" s="450"/>
      <c r="S59" s="450"/>
      <c r="T59" s="450"/>
      <c r="U59" s="450"/>
      <c r="V59" s="450"/>
      <c r="W59" s="450"/>
      <c r="Z59" s="432"/>
      <c r="AA59" s="432"/>
      <c r="AB59" s="432"/>
      <c r="AC59" s="432"/>
      <c r="AD59" s="432"/>
      <c r="AE59" s="432"/>
      <c r="AF59" s="432"/>
      <c r="AI59" s="432"/>
      <c r="AJ59" s="432"/>
      <c r="AK59" s="432"/>
      <c r="AL59" s="432"/>
      <c r="AM59" s="432"/>
      <c r="AN59" s="432"/>
      <c r="AO59" s="432"/>
      <c r="AR59" s="432"/>
      <c r="AS59" s="432"/>
      <c r="AT59" s="432"/>
      <c r="AU59" s="432"/>
      <c r="AV59" s="432"/>
      <c r="AW59" s="432"/>
      <c r="AX59" s="432"/>
      <c r="BA59" s="432" t="str">
        <f>IF(AI49="Please Select","",IF(AND(AZ48&lt;&gt;"",BA49="Yes",BA53="Yes"),"Describe the non-academic pattern or trend and the disciplanary action(s) that causes high attrition:",IF(AND(AZ48&lt;&gt;"",BA49="Yes",BA53="No"),"Describe the non-academic pattern or trend that causes high attrition:",IF(AND(AZ48&lt;&gt;"",BA49="No",BA53="Yes"),"Describe the disciplinary action(s) that cause high attrition:",IF(AND(AZ48&lt;&gt;"",BA49="No",BA53="No"),"          Complete additional questions to the right ==&gt;","")))))</f>
        <v/>
      </c>
      <c r="BB59" s="432"/>
      <c r="BC59" s="432"/>
      <c r="BD59" s="432"/>
      <c r="BE59" s="432"/>
      <c r="BF59" s="432"/>
      <c r="BG59" s="432"/>
      <c r="BI59" s="106" t="str">
        <f>IF(AI49="Please Select","",IF(AI49="Yes","15)",IF(AI49="No","13)","")))</f>
        <v/>
      </c>
      <c r="BJ59" s="449" t="str">
        <f>IF(AI49="Please Select","",IF(AI49="Yes","What is the program's action plan and the timetable for those actions to address each of your conclusions?",IF(AI49="No","What is the program's action plan and the timetable for those actions to address each of your conclusions?","")))</f>
        <v/>
      </c>
      <c r="BK59" s="449"/>
      <c r="BL59" s="449"/>
      <c r="BM59" s="449"/>
      <c r="BN59" s="449"/>
      <c r="BO59" s="449"/>
      <c r="BP59" s="449"/>
    </row>
    <row r="60" spans="1:69" s="26" customFormat="1" ht="18" customHeight="1" x14ac:dyDescent="0.25">
      <c r="A60" s="265"/>
      <c r="B60" s="233"/>
      <c r="C60" s="217" t="s">
        <v>61</v>
      </c>
      <c r="D60" s="177"/>
      <c r="E60" s="225">
        <v>2</v>
      </c>
      <c r="F60" s="225"/>
      <c r="G60" s="225"/>
      <c r="H60" s="225"/>
      <c r="I60" s="225"/>
      <c r="J60" s="225"/>
      <c r="K60" s="225"/>
      <c r="L60" s="225"/>
      <c r="M60" s="225"/>
      <c r="N60" s="90">
        <f>IF(COUNT(E60:M60),SUM(E60:M60),"")</f>
        <v>2</v>
      </c>
      <c r="O60" s="296" t="str">
        <f>IF(P60=1, "&lt;===", "")</f>
        <v/>
      </c>
      <c r="P60" s="300" t="str">
        <f>IF(OR(AND(E52&lt;&gt;"",E60="",D417&lt;&gt;""),AND(F52&lt;&gt;"",F60="",D417&lt;&gt;""),AND(G52&lt;&gt;"",G60="",D417&lt;&gt;""),AND(H52&lt;&gt;"",H60="",D417&lt;&gt;""),AND(I52&lt;&gt;"",I60="",D417&lt;&gt;""),AND(J52&lt;&gt;"",J60="",D417&lt;&gt;""),AND(K52&lt;&gt;"",K60="",D417&lt;&gt;""),AND(L52&lt;&gt;"",L60="",D417&lt;&gt;""),AND(M52&lt;&gt;"",M60="",D417&lt;&gt;"")), 1, "")</f>
        <v/>
      </c>
      <c r="Q60" s="450"/>
      <c r="R60" s="450"/>
      <c r="S60" s="450"/>
      <c r="T60" s="450"/>
      <c r="U60" s="450"/>
      <c r="V60" s="450"/>
      <c r="W60" s="450"/>
      <c r="Z60" s="451" t="s">
        <v>166</v>
      </c>
      <c r="AA60" s="451"/>
      <c r="AC60" s="452" t="str">
        <f>IF(Z60="No","Should it be?","")</f>
        <v/>
      </c>
      <c r="AD60" s="452"/>
      <c r="AE60" s="451" t="str">
        <f>IF(Z60="No","Please Select","")</f>
        <v/>
      </c>
      <c r="AF60" s="451"/>
      <c r="AG60" s="356" t="str">
        <f>IF(AF61=1,"&lt;===", "")</f>
        <v/>
      </c>
      <c r="AI60" s="451" t="str">
        <f>IF(AI49="Yes","Please Select","")</f>
        <v/>
      </c>
      <c r="AJ60" s="451"/>
      <c r="AK60" s="84"/>
      <c r="AL60" s="84"/>
      <c r="AO60" s="3" t="str">
        <f>IF(AND(P48&lt;&gt;"", AI60="Please Select",D417&lt;&gt;""),1, "")</f>
        <v/>
      </c>
      <c r="AP60" s="356" t="str">
        <f>IF(AO60=1,"&lt;===", "")</f>
        <v/>
      </c>
      <c r="AR60" s="433"/>
      <c r="AS60" s="433"/>
      <c r="AT60" s="433"/>
      <c r="AU60" s="433"/>
      <c r="AV60" s="433"/>
      <c r="AW60" s="433"/>
      <c r="AX60" s="433"/>
      <c r="BA60" s="432"/>
      <c r="BB60" s="432"/>
      <c r="BC60" s="432"/>
      <c r="BD60" s="432"/>
      <c r="BE60" s="432"/>
      <c r="BF60" s="432"/>
      <c r="BG60" s="432"/>
      <c r="BJ60" s="449"/>
      <c r="BK60" s="449"/>
      <c r="BL60" s="449"/>
      <c r="BM60" s="449"/>
      <c r="BN60" s="449"/>
      <c r="BO60" s="449"/>
      <c r="BP60" s="449"/>
    </row>
    <row r="61" spans="1:69" s="26" customFormat="1" ht="18" customHeight="1" x14ac:dyDescent="0.25">
      <c r="A61" s="265"/>
      <c r="B61" s="80"/>
      <c r="C61" s="216" t="s">
        <v>62</v>
      </c>
      <c r="D61" s="77"/>
      <c r="E61" s="224">
        <v>1</v>
      </c>
      <c r="F61" s="224"/>
      <c r="G61" s="224"/>
      <c r="H61" s="224"/>
      <c r="I61" s="224"/>
      <c r="J61" s="224"/>
      <c r="K61" s="224"/>
      <c r="L61" s="224"/>
      <c r="M61" s="224"/>
      <c r="N61" s="91">
        <f>IF(COUNT(E61:M61),SUM(E61:M61),"")</f>
        <v>1</v>
      </c>
      <c r="O61" s="296" t="str">
        <f>IF(P61=1, "&lt;===", "")</f>
        <v/>
      </c>
      <c r="P61" s="300" t="str">
        <f>IF(OR(AND(E52&lt;&gt;"",E61="",D417&lt;&gt;""),AND(F52&lt;&gt;"",F61="",D417&lt;&gt;""),AND(G52&lt;&gt;"",G61="",D417&lt;&gt;""),AND(H52&lt;&gt;"",H61="",D417&lt;&gt;""),AND(I52&lt;&gt;"",I61="",D417&lt;&gt;""),AND(J52&lt;&gt;"",J61="",D417&lt;&gt;""),AND(K52&lt;&gt;"",K61="",D417&lt;&gt;""),AND(L52&lt;&gt;"",L61="",D417&lt;&gt;""),AND(M52&lt;&gt;"",M61="",D417&lt;&gt;"")), 1, "")</f>
        <v/>
      </c>
      <c r="Q61" s="428" t="s">
        <v>170</v>
      </c>
      <c r="R61" s="428"/>
      <c r="S61" s="428"/>
      <c r="T61" s="428"/>
      <c r="U61" s="428"/>
      <c r="V61" s="428"/>
      <c r="W61" s="428"/>
      <c r="AF61" s="278" t="str">
        <f>IF(OR(AND(P48&lt;&gt;"",Z60="Please Select",D417&lt;&gt;""),AND(P48&lt;&gt;"",Z60&lt;&gt;"Please Select",AE60="Please Select",D417&lt;&gt;"")),1,"")</f>
        <v/>
      </c>
      <c r="AK61" s="84"/>
      <c r="AL61" s="84"/>
      <c r="AR61" s="433"/>
      <c r="AS61" s="433"/>
      <c r="AT61" s="433"/>
      <c r="AU61" s="433"/>
      <c r="AV61" s="433"/>
      <c r="AW61" s="433"/>
      <c r="AX61" s="433"/>
      <c r="BA61" s="433"/>
      <c r="BB61" s="433"/>
      <c r="BC61" s="433"/>
      <c r="BD61" s="433"/>
      <c r="BE61" s="433"/>
      <c r="BF61" s="433"/>
      <c r="BG61" s="433"/>
      <c r="BJ61" s="433"/>
      <c r="BK61" s="433"/>
      <c r="BL61" s="433"/>
      <c r="BM61" s="433"/>
      <c r="BN61" s="433"/>
      <c r="BO61" s="433"/>
      <c r="BP61" s="433"/>
    </row>
    <row r="62" spans="1:69" s="74" customFormat="1" ht="25.5" customHeight="1" x14ac:dyDescent="0.25">
      <c r="A62" s="265"/>
      <c r="B62" s="453" t="s">
        <v>60</v>
      </c>
      <c r="C62" s="454"/>
      <c r="D62" s="455"/>
      <c r="E62" s="254">
        <f>IF(OR(E59="",E60="",E61=""),"",SUM(E59:E61))</f>
        <v>3</v>
      </c>
      <c r="F62" s="254" t="str">
        <f>IF(OR(F59="",F60="",F61=""),"",SUM(F59:F61))</f>
        <v/>
      </c>
      <c r="G62" s="254" t="str">
        <f t="shared" ref="G62:M62" si="1">IF(OR(G59="",G60="",G61=""),"",SUM(G59:G61))</f>
        <v/>
      </c>
      <c r="H62" s="254" t="str">
        <f>IF(OR(H59="",H60="",H61=""),"",SUM(H59:H61))</f>
        <v/>
      </c>
      <c r="I62" s="254" t="str">
        <f t="shared" si="1"/>
        <v/>
      </c>
      <c r="J62" s="254" t="str">
        <f>IF(OR(J59="",J60="",J61=""),"",SUM(J59:J61))</f>
        <v/>
      </c>
      <c r="K62" s="254" t="str">
        <f t="shared" si="1"/>
        <v/>
      </c>
      <c r="L62" s="254" t="str">
        <f t="shared" si="1"/>
        <v/>
      </c>
      <c r="M62" s="254" t="str">
        <f t="shared" si="1"/>
        <v/>
      </c>
      <c r="N62" s="251">
        <f>IF(COUNT(N59:N61),SUM(N59:N61),"")</f>
        <v>3</v>
      </c>
      <c r="P62" s="288"/>
      <c r="Q62" s="428"/>
      <c r="R62" s="428"/>
      <c r="S62" s="428"/>
      <c r="T62" s="428"/>
      <c r="U62" s="428"/>
      <c r="V62" s="428"/>
      <c r="W62" s="428"/>
      <c r="Y62" s="104"/>
      <c r="Z62" s="432" t="str">
        <f>IF(P48&lt;&gt;"","Describe changes that could be made in the orientation to improve retention:","")</f>
        <v>Describe changes that could be made in the orientation to improve retention:</v>
      </c>
      <c r="AA62" s="432"/>
      <c r="AB62" s="432"/>
      <c r="AC62" s="432"/>
      <c r="AD62" s="432"/>
      <c r="AE62" s="432"/>
      <c r="AF62" s="432"/>
      <c r="AI62" s="432" t="str">
        <f>IF(AI49="Yes","What standardized tests/assessments are used and could there be changes in the admissions testing/assessment to improve retention?",IF(AI49="No","          Proceed to the next question to the right==&gt;",""))</f>
        <v/>
      </c>
      <c r="AJ62" s="432"/>
      <c r="AK62" s="432"/>
      <c r="AL62" s="432"/>
      <c r="AM62" s="432"/>
      <c r="AN62" s="432"/>
      <c r="AO62" s="432"/>
      <c r="AR62" s="433"/>
      <c r="AS62" s="433"/>
      <c r="AT62" s="433"/>
      <c r="AU62" s="433"/>
      <c r="AV62" s="433"/>
      <c r="AW62" s="433"/>
      <c r="AX62" s="433"/>
      <c r="BA62" s="433"/>
      <c r="BB62" s="433"/>
      <c r="BC62" s="433"/>
      <c r="BD62" s="433"/>
      <c r="BE62" s="433"/>
      <c r="BF62" s="433"/>
      <c r="BG62" s="433"/>
      <c r="BJ62" s="433"/>
      <c r="BK62" s="433"/>
      <c r="BL62" s="433"/>
      <c r="BM62" s="433"/>
      <c r="BN62" s="433"/>
      <c r="BO62" s="433"/>
      <c r="BP62" s="433"/>
    </row>
    <row r="63" spans="1:69" s="26" customFormat="1" ht="24.75" customHeight="1" x14ac:dyDescent="0.25">
      <c r="A63" s="265"/>
      <c r="B63" s="522" t="s">
        <v>63</v>
      </c>
      <c r="C63" s="523"/>
      <c r="D63" s="524"/>
      <c r="E63" s="253">
        <f>IF(OR(E52=0,E57="",E62=""),"",(SUM(E57,E62)))</f>
        <v>6</v>
      </c>
      <c r="F63" s="253" t="str">
        <f t="shared" ref="F63:M63" si="2">IF(OR(F52=0,F57="",F62=""),"",(SUM(F57,F62)))</f>
        <v/>
      </c>
      <c r="G63" s="253" t="str">
        <f t="shared" si="2"/>
        <v/>
      </c>
      <c r="H63" s="253" t="str">
        <f t="shared" si="2"/>
        <v/>
      </c>
      <c r="I63" s="253" t="str">
        <f t="shared" si="2"/>
        <v/>
      </c>
      <c r="J63" s="253" t="str">
        <f t="shared" si="2"/>
        <v/>
      </c>
      <c r="K63" s="253" t="str">
        <f t="shared" si="2"/>
        <v/>
      </c>
      <c r="L63" s="253" t="str">
        <f t="shared" si="2"/>
        <v/>
      </c>
      <c r="M63" s="253" t="str">
        <f t="shared" si="2"/>
        <v/>
      </c>
      <c r="N63" s="252">
        <f>IF(COUNT(E63:M63),SUM(E63:M63),"")</f>
        <v>6</v>
      </c>
      <c r="P63" s="289"/>
      <c r="Q63" s="428"/>
      <c r="R63" s="428"/>
      <c r="S63" s="428"/>
      <c r="T63" s="428"/>
      <c r="U63" s="428"/>
      <c r="V63" s="428"/>
      <c r="W63" s="428"/>
      <c r="Y63" s="261"/>
      <c r="Z63" s="432"/>
      <c r="AA63" s="432"/>
      <c r="AB63" s="432"/>
      <c r="AC63" s="432"/>
      <c r="AD63" s="432"/>
      <c r="AE63" s="432"/>
      <c r="AF63" s="432"/>
      <c r="AI63" s="432"/>
      <c r="AJ63" s="432"/>
      <c r="AK63" s="432"/>
      <c r="AL63" s="432"/>
      <c r="AM63" s="432"/>
      <c r="AN63" s="432"/>
      <c r="AO63" s="432"/>
      <c r="AR63" s="433"/>
      <c r="AS63" s="433"/>
      <c r="AT63" s="433"/>
      <c r="AU63" s="433"/>
      <c r="AV63" s="433"/>
      <c r="AW63" s="433"/>
      <c r="AX63" s="433"/>
      <c r="BA63" s="433"/>
      <c r="BB63" s="433"/>
      <c r="BC63" s="433"/>
      <c r="BD63" s="433"/>
      <c r="BE63" s="433"/>
      <c r="BF63" s="433"/>
      <c r="BG63" s="433"/>
      <c r="BJ63" s="433"/>
      <c r="BK63" s="433"/>
      <c r="BL63" s="433"/>
      <c r="BM63" s="433"/>
      <c r="BN63" s="433"/>
      <c r="BO63" s="433"/>
      <c r="BP63" s="433"/>
    </row>
    <row r="64" spans="1:69" s="26" customFormat="1" ht="24.75" customHeight="1" thickBot="1" x14ac:dyDescent="0.3">
      <c r="A64" s="265"/>
      <c r="B64" s="238" t="s">
        <v>17</v>
      </c>
      <c r="C64" s="239"/>
      <c r="D64" s="239"/>
      <c r="E64" s="240">
        <f>IF(OR(E52=0,E57="",E62=""),"",(E52-(SUM(E57,E62))))</f>
        <v>1</v>
      </c>
      <c r="F64" s="240" t="str">
        <f t="shared" ref="F64:M64" si="3">IF(OR(F52=0,F57="",F62=""),"",(F52-(SUM(F57,F62))))</f>
        <v/>
      </c>
      <c r="G64" s="240" t="str">
        <f t="shared" si="3"/>
        <v/>
      </c>
      <c r="H64" s="240" t="str">
        <f t="shared" si="3"/>
        <v/>
      </c>
      <c r="I64" s="240" t="str">
        <f t="shared" si="3"/>
        <v/>
      </c>
      <c r="J64" s="240" t="str">
        <f t="shared" si="3"/>
        <v/>
      </c>
      <c r="K64" s="240" t="str">
        <f t="shared" si="3"/>
        <v/>
      </c>
      <c r="L64" s="240" t="str">
        <f t="shared" si="3"/>
        <v/>
      </c>
      <c r="M64" s="240" t="str">
        <f t="shared" si="3"/>
        <v/>
      </c>
      <c r="N64" s="240">
        <f>IF(COUNT(E64:M64),SUM(E64:M64),"")</f>
        <v>1</v>
      </c>
      <c r="P64" s="260"/>
      <c r="Q64" s="428"/>
      <c r="R64" s="428"/>
      <c r="S64" s="428"/>
      <c r="T64" s="428"/>
      <c r="U64" s="428"/>
      <c r="V64" s="428"/>
      <c r="W64" s="428"/>
      <c r="X64" s="356" t="str">
        <f>IF(X65=1,"&lt;===", "")</f>
        <v/>
      </c>
      <c r="Z64" s="433" t="s">
        <v>171</v>
      </c>
      <c r="AA64" s="433"/>
      <c r="AB64" s="433"/>
      <c r="AC64" s="433"/>
      <c r="AD64" s="433"/>
      <c r="AE64" s="433"/>
      <c r="AF64" s="433"/>
      <c r="AG64" s="356" t="str">
        <f>IF(AG65=1,"&lt;===", "")</f>
        <v/>
      </c>
      <c r="AI64" s="433"/>
      <c r="AJ64" s="433"/>
      <c r="AK64" s="433"/>
      <c r="AL64" s="433"/>
      <c r="AM64" s="433"/>
      <c r="AN64" s="433"/>
      <c r="AO64" s="433"/>
      <c r="AP64" s="356" t="str">
        <f>IF(AP65=1,"&lt;===", "")</f>
        <v/>
      </c>
      <c r="AR64" s="433"/>
      <c r="AS64" s="433"/>
      <c r="AT64" s="433"/>
      <c r="AU64" s="433"/>
      <c r="AV64" s="433"/>
      <c r="AW64" s="433"/>
      <c r="AX64" s="433"/>
      <c r="AY64" s="356" t="str">
        <f>IF(AY65=1,"&lt;===", "")</f>
        <v/>
      </c>
      <c r="BA64" s="433"/>
      <c r="BB64" s="433"/>
      <c r="BC64" s="433"/>
      <c r="BD64" s="433"/>
      <c r="BE64" s="433"/>
      <c r="BF64" s="433"/>
      <c r="BG64" s="433"/>
      <c r="BH64" s="356" t="str">
        <f>IF(BH65=1,"&lt;===", "")</f>
        <v/>
      </c>
      <c r="BJ64" s="433"/>
      <c r="BK64" s="433"/>
      <c r="BL64" s="433"/>
      <c r="BM64" s="433"/>
      <c r="BN64" s="433"/>
      <c r="BO64" s="433"/>
      <c r="BP64" s="433"/>
      <c r="BQ64" s="356" t="str">
        <f>IF(BQ65=1,"&lt;===", "")</f>
        <v/>
      </c>
    </row>
    <row r="65" spans="1:152" s="28" customFormat="1" ht="21.95" customHeight="1" thickTop="1" x14ac:dyDescent="0.25">
      <c r="A65" s="265"/>
      <c r="B65" s="460" t="s">
        <v>64</v>
      </c>
      <c r="C65" s="461"/>
      <c r="D65" s="32"/>
      <c r="E65" s="243">
        <f>IF(AND(E57="",E62=""),"",IFERROR(SUM(E54,E55,E56,E59,E60,E61)/E52,""))</f>
        <v>0.8571428571428571</v>
      </c>
      <c r="F65" s="243" t="str">
        <f t="shared" ref="F65:M65" si="4">IF(AND(F57="",F62=""),"",IFERROR(SUM(F54,F55,F56,F59,F60,F61)/F52,""))</f>
        <v/>
      </c>
      <c r="G65" s="243" t="str">
        <f t="shared" si="4"/>
        <v/>
      </c>
      <c r="H65" s="243" t="str">
        <f t="shared" si="4"/>
        <v/>
      </c>
      <c r="I65" s="243" t="str">
        <f t="shared" si="4"/>
        <v/>
      </c>
      <c r="J65" s="243" t="str">
        <f t="shared" si="4"/>
        <v/>
      </c>
      <c r="K65" s="243" t="str">
        <f t="shared" si="4"/>
        <v/>
      </c>
      <c r="L65" s="243" t="str">
        <f t="shared" si="4"/>
        <v/>
      </c>
      <c r="M65" s="373" t="str">
        <f t="shared" si="4"/>
        <v/>
      </c>
      <c r="N65" s="244">
        <f>IF(N64&lt;&gt;"",1-N66,IF(N66=0,"",""))</f>
        <v>0.85714285714285721</v>
      </c>
      <c r="O65" s="318"/>
      <c r="P65" s="289"/>
      <c r="Q65" s="428"/>
      <c r="R65" s="428"/>
      <c r="S65" s="428"/>
      <c r="T65" s="428"/>
      <c r="U65" s="428"/>
      <c r="V65" s="428"/>
      <c r="W65" s="428"/>
      <c r="X65" s="278" t="str">
        <f>IF(AND(P48&lt;&gt;"", Q61="",D417&lt;&gt;""),1, "")</f>
        <v/>
      </c>
      <c r="Z65" s="433"/>
      <c r="AA65" s="433"/>
      <c r="AB65" s="433"/>
      <c r="AC65" s="433"/>
      <c r="AD65" s="433"/>
      <c r="AE65" s="433"/>
      <c r="AF65" s="433"/>
      <c r="AG65" s="278" t="str">
        <f>IF(AND(P48&lt;&gt;"", Z64="",D417&lt;&gt;""),1, "")</f>
        <v/>
      </c>
      <c r="AI65" s="433"/>
      <c r="AJ65" s="433"/>
      <c r="AK65" s="433"/>
      <c r="AL65" s="433"/>
      <c r="AM65" s="433"/>
      <c r="AN65" s="433"/>
      <c r="AO65" s="433"/>
      <c r="AP65" s="278" t="str">
        <f>IF(AND(P48&lt;&gt;"", AI49="Yes",AI64="",D417&lt;&gt;""),1, "")</f>
        <v/>
      </c>
      <c r="AR65" s="433"/>
      <c r="AS65" s="433"/>
      <c r="AT65" s="433"/>
      <c r="AU65" s="433"/>
      <c r="AV65" s="433"/>
      <c r="AW65" s="433"/>
      <c r="AX65" s="433"/>
      <c r="AY65" s="278" t="str">
        <f>IF(AND(P48&lt;&gt;"", AR58&lt;&gt;"",AR58&lt;&gt;"          Proceed to the next question to the right ==&gt;",AR60="",D417&lt;&gt;""),1,"")</f>
        <v/>
      </c>
      <c r="BA65" s="433"/>
      <c r="BB65" s="433"/>
      <c r="BC65" s="433"/>
      <c r="BD65" s="433"/>
      <c r="BE65" s="433"/>
      <c r="BF65" s="433"/>
      <c r="BG65" s="433"/>
      <c r="BH65" s="278" t="str">
        <f>IF(AND(P48&lt;&gt;"", BA59&lt;&gt;"",BA59&lt;&gt;"          Complete additional questions to the right ==&gt;",BA61="",D417&lt;&gt;""),1,"")</f>
        <v/>
      </c>
      <c r="BJ65" s="433"/>
      <c r="BK65" s="433"/>
      <c r="BL65" s="433"/>
      <c r="BM65" s="433"/>
      <c r="BN65" s="433"/>
      <c r="BO65" s="433"/>
      <c r="BP65" s="433"/>
      <c r="BQ65" s="278" t="str">
        <f>IF(AND(P48&lt;&gt;"", AI49&lt;&gt;"Please Select",BJ61="",D417&lt;&gt;""),1, "")</f>
        <v/>
      </c>
    </row>
    <row r="66" spans="1:152" s="28" customFormat="1" ht="26.25" customHeight="1" x14ac:dyDescent="0.25">
      <c r="A66" s="265"/>
      <c r="B66" s="464" t="s">
        <v>65</v>
      </c>
      <c r="C66" s="465"/>
      <c r="D66" s="466"/>
      <c r="E66" s="245">
        <f>IF(E64&lt;&gt;"",1-E65,IF(E65=0,"",""))</f>
        <v>0.1428571428571429</v>
      </c>
      <c r="F66" s="245" t="str">
        <f>IF(F64&lt;&gt;"",1-F65,IF(F65=0,"",""))</f>
        <v/>
      </c>
      <c r="G66" s="245" t="str">
        <f>IF(G64&lt;&gt;"",1-G65,IF(G65=0,"",""))</f>
        <v/>
      </c>
      <c r="H66" s="245" t="str">
        <f t="shared" ref="H66:M66" si="5">IF(H64&lt;&gt;"",1-H65,IF(H65=0,"",""))</f>
        <v/>
      </c>
      <c r="I66" s="245" t="str">
        <f t="shared" si="5"/>
        <v/>
      </c>
      <c r="J66" s="245" t="str">
        <f t="shared" si="5"/>
        <v/>
      </c>
      <c r="K66" s="245" t="str">
        <f t="shared" si="5"/>
        <v/>
      </c>
      <c r="L66" s="245" t="str">
        <f t="shared" si="5"/>
        <v/>
      </c>
      <c r="M66" s="246" t="str">
        <f t="shared" si="5"/>
        <v/>
      </c>
      <c r="N66" s="247">
        <f>IF(AND(N52&lt;&gt;"",N57&lt;&gt;"",N62&lt;&gt;""),N64/N52,0)</f>
        <v>0.14285714285714285</v>
      </c>
      <c r="O66" s="296"/>
      <c r="P66" s="297"/>
      <c r="Q66" s="428"/>
      <c r="R66" s="428"/>
      <c r="S66" s="428"/>
      <c r="T66" s="428"/>
      <c r="U66" s="428"/>
      <c r="V66" s="428"/>
      <c r="W66" s="428"/>
      <c r="Z66" s="433"/>
      <c r="AA66" s="433"/>
      <c r="AB66" s="433"/>
      <c r="AC66" s="433"/>
      <c r="AD66" s="433"/>
      <c r="AE66" s="433"/>
      <c r="AF66" s="433"/>
      <c r="AI66" s="433"/>
      <c r="AJ66" s="433"/>
      <c r="AK66" s="433"/>
      <c r="AL66" s="433"/>
      <c r="AM66" s="433"/>
      <c r="AN66" s="433"/>
      <c r="AO66" s="433"/>
      <c r="AR66" s="433"/>
      <c r="AS66" s="433"/>
      <c r="AT66" s="433"/>
      <c r="AU66" s="433"/>
      <c r="AV66" s="433"/>
      <c r="AW66" s="433"/>
      <c r="AX66" s="433"/>
      <c r="BA66" s="433"/>
      <c r="BB66" s="433"/>
      <c r="BC66" s="433"/>
      <c r="BD66" s="433"/>
      <c r="BE66" s="433"/>
      <c r="BF66" s="433"/>
      <c r="BG66" s="433"/>
      <c r="BJ66" s="433"/>
      <c r="BK66" s="433"/>
      <c r="BL66" s="433"/>
      <c r="BM66" s="433"/>
      <c r="BN66" s="433"/>
      <c r="BO66" s="433"/>
      <c r="BP66" s="433"/>
    </row>
    <row r="67" spans="1:152" s="28" customFormat="1" ht="55.5" customHeight="1" x14ac:dyDescent="0.25">
      <c r="A67" s="265"/>
      <c r="B67" s="467" t="str">
        <f>IF(AND(N66&lt;0.7,B68="",N52&lt;&gt;"",N65&lt;&gt;0),"The outcome threshold of 70% has not been met.  
Please complete the analysis and action plan questions to the right ==&gt;.",IF(AND(N52&lt;&gt;"",B68="",N66&gt;=0.7,N65&lt;100%),"The outcome threshold of 70% has been met.  
Please complete the next table below.",""))</f>
        <v>The outcome threshold of 70% has not been met.  
Please complete the analysis and action plan questions to the right ==&gt;.</v>
      </c>
      <c r="C67" s="468"/>
      <c r="D67" s="468"/>
      <c r="E67" s="468"/>
      <c r="F67" s="468"/>
      <c r="G67" s="468"/>
      <c r="H67" s="468"/>
      <c r="I67" s="468"/>
      <c r="J67" s="468"/>
      <c r="K67" s="468"/>
      <c r="L67" s="468"/>
      <c r="M67" s="468"/>
      <c r="N67" s="469"/>
      <c r="P67" s="260"/>
      <c r="Q67" s="428"/>
      <c r="R67" s="428"/>
      <c r="S67" s="428"/>
      <c r="T67" s="428"/>
      <c r="U67" s="428"/>
      <c r="V67" s="428"/>
      <c r="W67" s="428"/>
      <c r="Z67" s="433"/>
      <c r="AA67" s="433"/>
      <c r="AB67" s="433"/>
      <c r="AC67" s="433"/>
      <c r="AD67" s="433"/>
      <c r="AE67" s="433"/>
      <c r="AF67" s="433"/>
      <c r="AI67" s="433"/>
      <c r="AJ67" s="433"/>
      <c r="AK67" s="433"/>
      <c r="AL67" s="433"/>
      <c r="AM67" s="433"/>
      <c r="AN67" s="433"/>
      <c r="AO67" s="433"/>
      <c r="AR67" s="433"/>
      <c r="AS67" s="433"/>
      <c r="AT67" s="433"/>
      <c r="AU67" s="433"/>
      <c r="AV67" s="433"/>
      <c r="AW67" s="433"/>
      <c r="AX67" s="433"/>
      <c r="BA67" s="433"/>
      <c r="BB67" s="433"/>
      <c r="BC67" s="433"/>
      <c r="BD67" s="433"/>
      <c r="BE67" s="433"/>
      <c r="BF67" s="433"/>
      <c r="BG67" s="433"/>
      <c r="BJ67" s="433"/>
      <c r="BK67" s="433"/>
      <c r="BL67" s="433"/>
      <c r="BM67" s="433"/>
      <c r="BN67" s="433"/>
      <c r="BO67" s="433"/>
      <c r="BP67" s="433"/>
    </row>
    <row r="68" spans="1:152" s="53" customFormat="1" ht="51.75" customHeight="1" x14ac:dyDescent="0.25">
      <c r="A68" s="265"/>
      <c r="B68" s="525" t="str">
        <f>IF(OR(AND(D4&lt;&gt;YEAR(E51),E51&lt;&gt;0),AND(D4&lt;&gt;YEAR(F51),F51&lt;&gt;0),AND(D4&lt;&gt;YEAR(G51),G51&lt;&gt;0),AND(D4&lt;&gt;YEAR(H51),H51&lt;&gt;0),AND(D4&lt;&gt;YEAR(I51),I51&lt;&gt;0),AND(D4&lt;&gt;YEAR(J51),J51&lt;&gt;0),AND(D4&lt;&gt;YEAR(K51),K51&lt;&gt;0),AND(D4&lt;&gt;YEAR(L51),L51&lt;&gt;0),AND(D4&lt;&gt;YEAR(M51),M51&lt;&gt;0)),"Error has occurred; Remove cohorts that do not graduate in the current year.",IF(OR(AND(E65&gt;100%,E64&lt;&gt;""),AND(F65&gt;100%,F64&lt;&gt;""),AND(G65&gt;100%,G64&lt;&gt;""),AND(H65&gt;100%,H64&lt;&gt;""),AND(I65&gt;100%,I64&lt;&gt;""),AND(J65&gt;100%,J64&lt;&gt;""),AND(K65&gt;100%,K64&lt;&gt;""),AND(L65&gt;100%,L64&lt;&gt;""),AND(M65&gt;100%,M64&lt;&gt;"")),"Error has occurred; Total number of graduates cannot be greater than the total number of students in the cohort",IF(OR(AND(E52&lt;&gt;"",E64="",E66=""),AND(F52&lt;&gt;"",F64="",F66=""),AND(G52&lt;&gt;"",G64="",G66=""),AND(H52&lt;&gt;"",H64="",H66=""),AND(I52&lt;&gt;"",I64="",I66=""),AND(J52&lt;&gt;"",J64="",J66=""),AND(K52&lt;&gt;"",K64="",K66=""),AND(L52&lt;&gt;"",L64="",L66=""),AND(M52&lt;&gt;"",M64="",M66="")),"Please Note: An empty or blank cell is not the same a zero.","")))</f>
        <v/>
      </c>
      <c r="C68" s="525"/>
      <c r="D68" s="525"/>
      <c r="E68" s="525"/>
      <c r="F68" s="525"/>
      <c r="G68" s="525"/>
      <c r="H68" s="525"/>
      <c r="I68" s="525"/>
      <c r="J68" s="525"/>
      <c r="K68" s="525"/>
      <c r="L68" s="525"/>
      <c r="M68" s="525"/>
      <c r="N68" s="525"/>
      <c r="P68" s="260"/>
      <c r="Q68" s="428"/>
      <c r="R68" s="428"/>
      <c r="S68" s="428"/>
      <c r="T68" s="428"/>
      <c r="U68" s="428"/>
      <c r="V68" s="428"/>
      <c r="W68" s="428"/>
      <c r="Z68" s="433"/>
      <c r="AA68" s="433"/>
      <c r="AB68" s="433"/>
      <c r="AC68" s="433"/>
      <c r="AD68" s="433"/>
      <c r="AE68" s="433"/>
      <c r="AF68" s="433"/>
      <c r="AI68" s="433"/>
      <c r="AJ68" s="433"/>
      <c r="AK68" s="433"/>
      <c r="AL68" s="433"/>
      <c r="AM68" s="433"/>
      <c r="AN68" s="433"/>
      <c r="AO68" s="433"/>
      <c r="AR68" s="433"/>
      <c r="AS68" s="433"/>
      <c r="AT68" s="433"/>
      <c r="AU68" s="433"/>
      <c r="AV68" s="433"/>
      <c r="AW68" s="433"/>
      <c r="AX68" s="433"/>
      <c r="BA68" s="433"/>
      <c r="BB68" s="433"/>
      <c r="BC68" s="433"/>
      <c r="BD68" s="433"/>
      <c r="BE68" s="433"/>
      <c r="BF68" s="433"/>
      <c r="BG68" s="433"/>
      <c r="BJ68" s="433"/>
      <c r="BK68" s="433"/>
      <c r="BL68" s="433"/>
      <c r="BM68" s="433"/>
      <c r="BN68" s="433"/>
      <c r="BO68" s="433"/>
      <c r="BP68" s="433"/>
    </row>
    <row r="69" spans="1:152" s="26" customFormat="1" ht="114.75" customHeight="1" x14ac:dyDescent="0.25">
      <c r="A69" s="265"/>
      <c r="B69" s="491" t="s">
        <v>160</v>
      </c>
      <c r="C69" s="492"/>
      <c r="D69" s="492"/>
      <c r="E69" s="492"/>
      <c r="F69" s="492"/>
      <c r="G69" s="492"/>
      <c r="H69" s="492"/>
      <c r="I69" s="492"/>
      <c r="J69" s="492"/>
      <c r="K69" s="492"/>
      <c r="L69" s="492"/>
      <c r="M69" s="492"/>
      <c r="N69" s="493"/>
      <c r="O69" s="124"/>
      <c r="P69" s="260"/>
      <c r="Q69" s="428"/>
      <c r="R69" s="428"/>
      <c r="S69" s="428"/>
      <c r="T69" s="428"/>
      <c r="U69" s="428"/>
      <c r="V69" s="428"/>
      <c r="W69" s="428"/>
      <c r="Z69" s="433"/>
      <c r="AA69" s="433"/>
      <c r="AB69" s="433"/>
      <c r="AC69" s="433"/>
      <c r="AD69" s="433"/>
      <c r="AE69" s="433"/>
      <c r="AF69" s="433"/>
      <c r="AI69" s="433"/>
      <c r="AJ69" s="433"/>
      <c r="AK69" s="433"/>
      <c r="AL69" s="433"/>
      <c r="AM69" s="433"/>
      <c r="AN69" s="433"/>
      <c r="AO69" s="433"/>
      <c r="AR69" s="433"/>
      <c r="AS69" s="433"/>
      <c r="AT69" s="433"/>
      <c r="AU69" s="433"/>
      <c r="AV69" s="433"/>
      <c r="AW69" s="433"/>
      <c r="AX69" s="433"/>
      <c r="BA69" s="433"/>
      <c r="BB69" s="433"/>
      <c r="BC69" s="433"/>
      <c r="BD69" s="433"/>
      <c r="BE69" s="433"/>
      <c r="BF69" s="433"/>
      <c r="BG69" s="433"/>
      <c r="BJ69" s="433"/>
      <c r="BK69" s="433"/>
      <c r="BL69" s="433"/>
      <c r="BM69" s="433"/>
      <c r="BN69" s="433"/>
      <c r="BO69" s="433"/>
      <c r="BP69" s="433"/>
    </row>
    <row r="70" spans="1:152" s="262" customFormat="1" x14ac:dyDescent="0.25">
      <c r="A70" s="17"/>
      <c r="P70" s="260"/>
    </row>
    <row r="71" spans="1:152" s="26" customFormat="1" x14ac:dyDescent="0.25">
      <c r="A71" s="265"/>
      <c r="P71" s="260"/>
    </row>
    <row r="72" spans="1:152" s="28" customFormat="1" ht="24" customHeight="1" x14ac:dyDescent="0.25">
      <c r="A72" s="265"/>
      <c r="C72" s="283">
        <f>$D$14</f>
        <v>600045</v>
      </c>
      <c r="D72" s="447" t="str">
        <f>$D$16</f>
        <v>Youngstown State University</v>
      </c>
      <c r="E72" s="447"/>
      <c r="F72" s="447"/>
      <c r="G72" s="447"/>
      <c r="H72" s="447"/>
      <c r="I72" s="447"/>
      <c r="J72" s="447"/>
      <c r="K72" s="447"/>
      <c r="P72" s="260"/>
      <c r="Q72" s="441" t="str">
        <f>IF(P76&lt;&gt;"",$D$14,"")</f>
        <v/>
      </c>
      <c r="R72" s="441"/>
      <c r="S72" s="448" t="str">
        <f>IF(P76&lt;&gt;"",$D$16,"")</f>
        <v/>
      </c>
      <c r="T72" s="448"/>
      <c r="U72" s="448"/>
      <c r="V72" s="448"/>
      <c r="W72" s="448"/>
      <c r="X72" s="448"/>
      <c r="Y72" s="448"/>
      <c r="Z72" s="448"/>
      <c r="AA72" s="448"/>
      <c r="AB72" s="448"/>
      <c r="AC72" s="328"/>
      <c r="AD72" s="328"/>
      <c r="AE72" s="328"/>
      <c r="AF72" s="328"/>
      <c r="AG72" s="328"/>
      <c r="AH72" s="328"/>
      <c r="AI72" s="441" t="str">
        <f>IF(P76&lt;&gt;"",$D$14,"")</f>
        <v/>
      </c>
      <c r="AJ72" s="441"/>
      <c r="AK72" s="448" t="str">
        <f>IF(P76&lt;&gt;"",$D$16,"")</f>
        <v/>
      </c>
      <c r="AL72" s="448"/>
      <c r="AM72" s="448"/>
      <c r="AN72" s="448"/>
      <c r="AO72" s="448"/>
      <c r="AP72" s="448"/>
      <c r="AQ72" s="448"/>
      <c r="AR72" s="448"/>
      <c r="AS72" s="448"/>
      <c r="AT72" s="448"/>
      <c r="AU72" s="328"/>
      <c r="AV72" s="328"/>
      <c r="AW72" s="328"/>
      <c r="AX72" s="328"/>
      <c r="AY72" s="328"/>
      <c r="AZ72" s="328"/>
      <c r="BA72" s="441" t="str">
        <f>IF(P76&lt;&gt;"",$D$14,"")</f>
        <v/>
      </c>
      <c r="BB72" s="441"/>
      <c r="BC72" s="448" t="str">
        <f>IF(P76&lt;&gt;"",$D$16,"")</f>
        <v/>
      </c>
      <c r="BD72" s="448"/>
      <c r="BE72" s="448"/>
      <c r="BF72" s="448"/>
      <c r="BG72" s="448"/>
      <c r="BH72" s="448"/>
      <c r="BI72" s="448"/>
      <c r="BJ72" s="448"/>
      <c r="BK72" s="448"/>
      <c r="BL72" s="448"/>
      <c r="BM72" s="328"/>
      <c r="BN72" s="328"/>
      <c r="BO72" s="328"/>
      <c r="BP72" s="328"/>
      <c r="BQ72" s="328"/>
      <c r="BR72" s="328"/>
      <c r="BS72" s="328"/>
      <c r="BT72" s="441" t="str">
        <f>IF(P76&lt;&gt;"",$D$14,"")</f>
        <v/>
      </c>
      <c r="BU72" s="441"/>
      <c r="BV72" s="448" t="str">
        <f>IF(P76&lt;&gt;"",$D$16,"")</f>
        <v/>
      </c>
      <c r="BW72" s="448"/>
      <c r="BX72" s="448"/>
      <c r="BY72" s="448"/>
      <c r="BZ72" s="448"/>
      <c r="CA72" s="625" t="str">
        <f>IF(P76&lt;&gt;"", "&lt;== Once the analysis and action plan boxes have 
        been completed, CLICK HERE to proceed to 
        the next section or scroll back", "")</f>
        <v/>
      </c>
      <c r="CB72" s="625"/>
      <c r="CC72" s="625"/>
      <c r="CD72" s="625"/>
      <c r="CE72" s="625"/>
      <c r="CF72" s="260"/>
      <c r="CG72" s="328"/>
      <c r="CH72" s="328"/>
      <c r="CI72" s="328"/>
      <c r="CJ72" s="328"/>
      <c r="CK72" s="328"/>
      <c r="CL72" s="328"/>
      <c r="CM72" s="328"/>
      <c r="CN72" s="328"/>
      <c r="CO72" s="328"/>
      <c r="CP72" s="328"/>
      <c r="CQ72" s="328"/>
      <c r="CR72" s="328"/>
      <c r="CS72" s="328"/>
      <c r="CT72" s="328"/>
      <c r="CU72" s="328"/>
      <c r="CV72" s="328"/>
      <c r="CW72" s="328"/>
      <c r="CX72" s="328"/>
      <c r="CY72" s="328"/>
      <c r="CZ72" s="328"/>
      <c r="DA72" s="328"/>
      <c r="DB72" s="328"/>
      <c r="DC72" s="328"/>
      <c r="DD72" s="328"/>
      <c r="DE72" s="328"/>
      <c r="DF72" s="328"/>
      <c r="DG72" s="328"/>
      <c r="DH72" s="328"/>
      <c r="DI72" s="328"/>
      <c r="DJ72" s="328"/>
      <c r="DK72" s="328"/>
      <c r="DL72" s="328"/>
      <c r="DM72" s="328"/>
      <c r="DN72" s="328"/>
      <c r="DO72" s="328"/>
      <c r="DP72" s="328"/>
      <c r="DQ72" s="328"/>
      <c r="DR72" s="328"/>
      <c r="DS72" s="328"/>
      <c r="DT72" s="328"/>
      <c r="DU72" s="328"/>
      <c r="DV72" s="328"/>
      <c r="DW72" s="328"/>
      <c r="DX72" s="328"/>
      <c r="DY72" s="328"/>
      <c r="DZ72" s="328"/>
      <c r="EA72" s="328"/>
      <c r="EB72" s="328"/>
      <c r="EC72" s="328"/>
      <c r="ED72" s="328"/>
      <c r="EE72" s="328"/>
      <c r="EF72" s="328"/>
      <c r="EG72" s="328"/>
      <c r="EH72" s="328"/>
      <c r="EI72" s="328"/>
      <c r="EJ72" s="328"/>
      <c r="EK72" s="328"/>
      <c r="EL72" s="328"/>
      <c r="EM72" s="328"/>
      <c r="EN72" s="328"/>
      <c r="EO72" s="328"/>
      <c r="EP72" s="328"/>
      <c r="EQ72" s="328"/>
      <c r="ER72" s="328"/>
      <c r="ES72" s="328"/>
      <c r="ET72" s="328"/>
      <c r="EU72" s="328"/>
      <c r="EV72" s="328"/>
    </row>
    <row r="73" spans="1:152" s="341" customFormat="1" x14ac:dyDescent="0.25">
      <c r="A73" s="17"/>
      <c r="E73" s="215"/>
      <c r="J73" s="342"/>
      <c r="K73" s="342"/>
      <c r="P73" s="260"/>
      <c r="R73" s="448" t="str">
        <f>IF(AND(G74="Yes",P76&lt;&gt;""),"National Registry/State",IF(AND(G74="No",P76&lt;&gt;""),G77,""))</f>
        <v/>
      </c>
      <c r="S73" s="448"/>
      <c r="T73" s="448"/>
      <c r="U73" s="448"/>
      <c r="V73" s="448"/>
      <c r="W73" s="448"/>
      <c r="AK73" s="448" t="str">
        <f>IF(AND(G74="Yes",P76&lt;&gt;""),"National Registry/State",IF(AND(G74="No",P76&lt;&gt;""),G77,""))</f>
        <v/>
      </c>
      <c r="AL73" s="448"/>
      <c r="AM73" s="448"/>
      <c r="AN73" s="448"/>
      <c r="AO73" s="448"/>
      <c r="BD73" s="448" t="str">
        <f>IF(AND(G74="Yes",P76&lt;&gt;""),"National Registry/State",IF(AND(G74="No",P76&lt;&gt;""),G77,""))</f>
        <v/>
      </c>
      <c r="BE73" s="448"/>
      <c r="BF73" s="448"/>
      <c r="BG73" s="448"/>
      <c r="BH73" s="448"/>
      <c r="BL73" s="340"/>
      <c r="CA73" s="625"/>
      <c r="CB73" s="625"/>
      <c r="CC73" s="625"/>
      <c r="CD73" s="625"/>
      <c r="CE73" s="625"/>
    </row>
    <row r="74" spans="1:152" s="28" customFormat="1" ht="23.25" customHeight="1" x14ac:dyDescent="0.25">
      <c r="A74" s="265"/>
      <c r="B74" s="457" t="s">
        <v>95</v>
      </c>
      <c r="C74" s="457"/>
      <c r="D74" s="457"/>
      <c r="E74" s="457"/>
      <c r="F74" s="457"/>
      <c r="G74" s="458" t="s">
        <v>166</v>
      </c>
      <c r="H74" s="458"/>
      <c r="I74" s="157"/>
      <c r="J74" s="157"/>
      <c r="K74" s="157"/>
      <c r="O74" s="296" t="str">
        <f>IF(P74=1,"&lt;===", "")</f>
        <v/>
      </c>
      <c r="P74" s="364" t="str">
        <f>IF(AND(G74="Please Select", G44&lt;&gt;0, D417&lt;&gt;""), 1, "")</f>
        <v/>
      </c>
      <c r="Q74" s="328"/>
      <c r="R74" s="328"/>
      <c r="S74" s="442" t="str">
        <f>IF(P76&lt;&gt;"",G77,"")</f>
        <v/>
      </c>
      <c r="T74" s="442"/>
      <c r="U74" s="442"/>
      <c r="V74" s="442"/>
      <c r="W74" s="442"/>
      <c r="X74" s="328"/>
      <c r="Y74" s="328"/>
      <c r="Z74" s="328"/>
      <c r="AA74" s="328"/>
      <c r="AB74" s="328"/>
      <c r="AC74" s="328"/>
      <c r="AD74" s="328"/>
      <c r="AE74" s="328"/>
      <c r="AF74" s="328"/>
      <c r="AG74" s="328"/>
      <c r="AH74" s="328"/>
      <c r="AI74" s="328"/>
      <c r="AJ74" s="328"/>
      <c r="AK74" s="442" t="str">
        <f>IF(P76&lt;&gt;"",G77,"")</f>
        <v/>
      </c>
      <c r="AL74" s="442"/>
      <c r="AM74" s="442"/>
      <c r="AN74" s="442"/>
      <c r="AO74" s="442"/>
      <c r="AP74" s="328"/>
      <c r="AQ74" s="328"/>
      <c r="AR74" s="328"/>
      <c r="AS74" s="328"/>
      <c r="AT74" s="328"/>
      <c r="AU74" s="328"/>
      <c r="AV74" s="328"/>
      <c r="AW74" s="328"/>
      <c r="AX74" s="328"/>
      <c r="AY74" s="328"/>
      <c r="AZ74" s="328"/>
      <c r="BA74" s="328"/>
      <c r="BB74" s="328"/>
      <c r="BC74" s="448" t="str">
        <f>IF(P76&lt;&gt;"",G77,"")</f>
        <v/>
      </c>
      <c r="BD74" s="448"/>
      <c r="BE74" s="448"/>
      <c r="BF74" s="448"/>
      <c r="BG74" s="448"/>
      <c r="BH74" s="328"/>
      <c r="BI74" s="328"/>
      <c r="BJ74" s="328"/>
      <c r="BK74" s="328"/>
      <c r="BL74" s="328"/>
      <c r="BM74" s="328"/>
      <c r="BN74" s="328"/>
      <c r="BO74" s="328"/>
      <c r="BP74" s="328"/>
      <c r="BQ74" s="328"/>
      <c r="BR74" s="328"/>
      <c r="BS74" s="328"/>
      <c r="BT74" s="328"/>
      <c r="BU74" s="328"/>
      <c r="BV74" s="448" t="str">
        <f>IF(P76&lt;&gt;"",G77,"")</f>
        <v/>
      </c>
      <c r="BW74" s="448"/>
      <c r="BX74" s="448"/>
      <c r="BY74" s="448"/>
      <c r="BZ74" s="448"/>
      <c r="CA74" s="625"/>
      <c r="CB74" s="625"/>
      <c r="CC74" s="625"/>
      <c r="CD74" s="625"/>
      <c r="CE74" s="625"/>
      <c r="CF74" s="328"/>
      <c r="CG74" s="313"/>
      <c r="CH74" s="313"/>
      <c r="CI74" s="313"/>
      <c r="CJ74" s="313"/>
    </row>
    <row r="75" spans="1:152" s="26" customFormat="1" ht="16.5" customHeight="1" x14ac:dyDescent="0.25">
      <c r="A75" s="265"/>
      <c r="B75" s="457"/>
      <c r="C75" s="457"/>
      <c r="D75" s="457"/>
      <c r="E75" s="457"/>
      <c r="F75" s="457"/>
      <c r="G75" s="458"/>
      <c r="H75" s="458"/>
      <c r="J75" s="157"/>
      <c r="P75" s="27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8"/>
      <c r="AU75" s="328"/>
      <c r="AV75" s="328"/>
      <c r="AW75" s="328"/>
      <c r="AX75" s="328"/>
      <c r="AY75" s="328"/>
      <c r="AZ75" s="328"/>
      <c r="BA75" s="328"/>
      <c r="BB75" s="328"/>
      <c r="BC75" s="328"/>
      <c r="BD75" s="328"/>
      <c r="BE75" s="328"/>
      <c r="BF75" s="328"/>
      <c r="BG75" s="328"/>
      <c r="BH75" s="328"/>
      <c r="BI75" s="328"/>
      <c r="BJ75" s="328"/>
      <c r="BK75" s="328"/>
      <c r="BL75" s="328"/>
      <c r="BM75" s="328"/>
      <c r="BN75" s="328"/>
      <c r="BO75" s="328"/>
      <c r="BP75" s="328"/>
      <c r="BQ75" s="328"/>
      <c r="BR75" s="328"/>
      <c r="BS75" s="328"/>
      <c r="BT75" s="328"/>
      <c r="BU75" s="328"/>
      <c r="BV75" s="328"/>
      <c r="BW75" s="328"/>
      <c r="BX75" s="328"/>
      <c r="BY75" s="328"/>
      <c r="BZ75" s="328"/>
      <c r="CA75" s="625"/>
      <c r="CB75" s="625"/>
      <c r="CC75" s="625"/>
      <c r="CD75" s="625"/>
      <c r="CE75" s="625"/>
      <c r="CF75" s="328"/>
      <c r="CG75" s="313"/>
      <c r="CH75" s="313"/>
      <c r="CI75" s="313"/>
      <c r="CJ75" s="313"/>
    </row>
    <row r="76" spans="1:152" s="46" customFormat="1" ht="18.75" customHeight="1" x14ac:dyDescent="0.25">
      <c r="A76" s="265"/>
      <c r="B76" s="476"/>
      <c r="C76" s="476"/>
      <c r="D76" s="476"/>
      <c r="E76" s="476"/>
      <c r="F76" s="310"/>
      <c r="G76" s="476"/>
      <c r="H76" s="476"/>
      <c r="J76" s="309"/>
      <c r="O76" s="296"/>
      <c r="P76" s="626" t="str">
        <f>IF(AND(B90="The outcome threshold of 70% has not been met.  
Please complete the analysis and action plan questions to the right ==&gt;.",B91=""),"1)","")</f>
        <v/>
      </c>
      <c r="Q76" s="449" t="str">
        <f>IF(P76&lt;&gt;"","What is the trend in " &amp;G77&amp; " written examination results for the past graduating classes?","")</f>
        <v/>
      </c>
      <c r="R76" s="449"/>
      <c r="S76" s="449"/>
      <c r="T76" s="449"/>
      <c r="U76" s="449"/>
      <c r="V76" s="449"/>
      <c r="W76" s="449"/>
      <c r="X76" s="335"/>
      <c r="Y76" s="627"/>
      <c r="Z76" s="432" t="str">
        <f>IF(Q81="Yes","How does performance on the comprehensive cognitive examination correlate to the " &amp; G77 &amp; " written examination?",IF(Q81="No","Proceed to question #3 below",""))</f>
        <v/>
      </c>
      <c r="AA76" s="432"/>
      <c r="AB76" s="432"/>
      <c r="AC76" s="432"/>
      <c r="AD76" s="432"/>
      <c r="AE76" s="432"/>
      <c r="AF76" s="432"/>
      <c r="AG76" s="333"/>
      <c r="AH76" s="328"/>
      <c r="AI76" s="449" t="str">
        <f>IF(P76&lt;&gt;"","What was the student performance on the formative examinations that tested those content areas?","")</f>
        <v/>
      </c>
      <c r="AJ76" s="449"/>
      <c r="AK76" s="449"/>
      <c r="AL76" s="449"/>
      <c r="AM76" s="449"/>
      <c r="AN76" s="449"/>
      <c r="AO76" s="449"/>
      <c r="AP76" s="328"/>
      <c r="AQ76" s="452" t="str">
        <f>IF(P76&lt;&gt;"","7)","")</f>
        <v/>
      </c>
      <c r="AR76" s="449" t="str">
        <f>IF(P76&lt;&gt;"","What solutions have been proposed to strengthen the weak content areas and the " &amp;G77&amp; " written examination results?","")</f>
        <v/>
      </c>
      <c r="AS76" s="449"/>
      <c r="AT76" s="449"/>
      <c r="AU76" s="449"/>
      <c r="AV76" s="449"/>
      <c r="AW76" s="449"/>
      <c r="AX76" s="449"/>
      <c r="AY76" s="333"/>
      <c r="AZ76" s="452" t="str">
        <f>IF(P76&lt;&gt;"","9)","")</f>
        <v/>
      </c>
      <c r="BA76" s="449" t="str">
        <f>IF(P76&lt;&gt;"","Did the annual resource assessment identify deficiencies that may have contributed to poor student performance?","")</f>
        <v/>
      </c>
      <c r="BB76" s="449"/>
      <c r="BC76" s="449"/>
      <c r="BD76" s="449"/>
      <c r="BE76" s="449"/>
      <c r="BF76" s="449"/>
      <c r="BG76" s="449"/>
      <c r="BH76" s="328"/>
      <c r="BI76" s="328"/>
      <c r="BJ76" s="449" t="str">
        <f>IF(P76&lt;&gt;"","Has the Advisory Committee identified additional weaknesses in content areas?","")</f>
        <v/>
      </c>
      <c r="BK76" s="449"/>
      <c r="BL76" s="449"/>
      <c r="BM76" s="449"/>
      <c r="BN76" s="449"/>
      <c r="BO76" s="449"/>
      <c r="BP76" s="449"/>
      <c r="BQ76" s="328"/>
      <c r="BR76" s="328"/>
      <c r="BS76" s="328"/>
      <c r="BT76" s="328"/>
      <c r="BU76" s="328"/>
      <c r="BV76" s="328"/>
      <c r="BW76" s="328"/>
      <c r="BX76" s="328"/>
      <c r="BY76" s="328"/>
      <c r="BZ76" s="328"/>
      <c r="CA76" s="328"/>
      <c r="CB76" s="328"/>
      <c r="CC76" s="328"/>
      <c r="CD76" s="328"/>
      <c r="CE76" s="328"/>
      <c r="CF76" s="328"/>
    </row>
    <row r="77" spans="1:152" s="317" customFormat="1" ht="36.75" customHeight="1" x14ac:dyDescent="0.25">
      <c r="A77" s="265"/>
      <c r="B77" s="475" t="str">
        <f>IF(G74="No","Which written examination results are being reported?", "")</f>
        <v/>
      </c>
      <c r="C77" s="475"/>
      <c r="D77" s="475"/>
      <c r="E77" s="475"/>
      <c r="F77" s="475"/>
      <c r="G77" s="476"/>
      <c r="H77" s="476"/>
      <c r="I77" s="157"/>
      <c r="J77" s="157"/>
      <c r="K77" s="157"/>
      <c r="N77" s="278" t="str">
        <f>IF(AND(G74="No", G77="", D417&lt;&gt;""), 1, "")</f>
        <v/>
      </c>
      <c r="O77" s="296" t="str">
        <f>IF(N77=1,"&lt;===", "")</f>
        <v/>
      </c>
      <c r="P77" s="626"/>
      <c r="Q77" s="449"/>
      <c r="R77" s="449"/>
      <c r="S77" s="449"/>
      <c r="T77" s="449"/>
      <c r="U77" s="449"/>
      <c r="V77" s="449"/>
      <c r="W77" s="449"/>
      <c r="X77" s="335"/>
      <c r="Y77" s="627"/>
      <c r="Z77" s="432"/>
      <c r="AA77" s="432"/>
      <c r="AB77" s="432"/>
      <c r="AC77" s="432"/>
      <c r="AD77" s="432"/>
      <c r="AE77" s="432"/>
      <c r="AF77" s="432"/>
      <c r="AG77" s="333"/>
      <c r="AH77" s="332" t="str">
        <f>IF(P76&lt;&gt;"","5)","")</f>
        <v/>
      </c>
      <c r="AI77" s="449"/>
      <c r="AJ77" s="449"/>
      <c r="AK77" s="449"/>
      <c r="AL77" s="449"/>
      <c r="AM77" s="449"/>
      <c r="AN77" s="449"/>
      <c r="AO77" s="449"/>
      <c r="AP77" s="335"/>
      <c r="AQ77" s="452"/>
      <c r="AR77" s="449"/>
      <c r="AS77" s="449"/>
      <c r="AT77" s="449"/>
      <c r="AU77" s="449"/>
      <c r="AV77" s="449"/>
      <c r="AW77" s="449"/>
      <c r="AX77" s="449"/>
      <c r="AY77" s="333"/>
      <c r="AZ77" s="452"/>
      <c r="BA77" s="449"/>
      <c r="BB77" s="449"/>
      <c r="BC77" s="449"/>
      <c r="BD77" s="449"/>
      <c r="BE77" s="449"/>
      <c r="BF77" s="449"/>
      <c r="BG77" s="449"/>
      <c r="BH77" s="328"/>
      <c r="BI77" s="332" t="str">
        <f>IF(P76&lt;&gt;"","10)","")</f>
        <v/>
      </c>
      <c r="BJ77" s="449"/>
      <c r="BK77" s="449"/>
      <c r="BL77" s="449"/>
      <c r="BM77" s="449"/>
      <c r="BN77" s="449"/>
      <c r="BO77" s="449"/>
      <c r="BP77" s="449"/>
      <c r="BQ77" s="335"/>
      <c r="BR77" s="335"/>
      <c r="BS77" s="335"/>
      <c r="BT77" s="328"/>
      <c r="BU77" s="332" t="str">
        <f>IF(P76&lt;&gt;"","11)","")</f>
        <v/>
      </c>
      <c r="BV77" s="596" t="str">
        <f>IF(P76&lt;&gt;"","Was additional equipment purchased to address identified deficiencies?","")</f>
        <v/>
      </c>
      <c r="BW77" s="596"/>
      <c r="BX77" s="596"/>
      <c r="BY77" s="596"/>
      <c r="BZ77" s="596"/>
      <c r="CA77" s="596"/>
      <c r="CB77" s="596"/>
      <c r="CC77" s="596"/>
      <c r="CD77" s="596"/>
      <c r="CE77" s="596"/>
      <c r="CF77" s="328"/>
    </row>
    <row r="78" spans="1:152" s="46" customFormat="1" x14ac:dyDescent="0.25">
      <c r="A78" s="265"/>
      <c r="P78" s="338"/>
      <c r="Q78" s="498" t="str">
        <f>IF(P76&lt;&gt;"","Please Select","")</f>
        <v/>
      </c>
      <c r="R78" s="498"/>
      <c r="S78" s="330"/>
      <c r="T78" s="335"/>
      <c r="U78" s="335"/>
      <c r="V78" s="335"/>
      <c r="W78" s="300" t="str">
        <f>IF(AND(P76&lt;&gt;"", Q78="Please Select",D417&lt;&gt;""),1, "")</f>
        <v/>
      </c>
      <c r="X78" s="357" t="str">
        <f>IF(W78=1,"&lt;===", "")</f>
        <v/>
      </c>
      <c r="Y78" s="328"/>
      <c r="Z78" s="433"/>
      <c r="AA78" s="433"/>
      <c r="AB78" s="433"/>
      <c r="AC78" s="433"/>
      <c r="AD78" s="433"/>
      <c r="AE78" s="433"/>
      <c r="AF78" s="433"/>
      <c r="AG78" s="361" t="str">
        <f>IF(AG79=1,"&lt;===", "")</f>
        <v/>
      </c>
      <c r="AH78" s="328"/>
      <c r="AI78" s="433"/>
      <c r="AJ78" s="433"/>
      <c r="AK78" s="433"/>
      <c r="AL78" s="433"/>
      <c r="AM78" s="433"/>
      <c r="AN78" s="433"/>
      <c r="AO78" s="433"/>
      <c r="AP78" s="361" t="str">
        <f>IF(AP79=1,"&lt;===", "")</f>
        <v/>
      </c>
      <c r="AQ78" s="328"/>
      <c r="AR78" s="433"/>
      <c r="AS78" s="433"/>
      <c r="AT78" s="433"/>
      <c r="AU78" s="433"/>
      <c r="AV78" s="433"/>
      <c r="AW78" s="433"/>
      <c r="AX78" s="433"/>
      <c r="AY78" s="362" t="str">
        <f>IF(AY79=1,"&lt;===", "")</f>
        <v/>
      </c>
      <c r="AZ78" s="328"/>
      <c r="BA78" s="451" t="str">
        <f>IF(P76&lt;&gt;"","Please Select","")</f>
        <v/>
      </c>
      <c r="BB78" s="451"/>
      <c r="BC78" s="328"/>
      <c r="BD78" s="328"/>
      <c r="BE78" s="328"/>
      <c r="BF78" s="328"/>
      <c r="BG78" s="364" t="str">
        <f>IF(AND(P76&lt;&gt;"",BA78="Please Select",D417&lt;&gt;""),1, "")</f>
        <v/>
      </c>
      <c r="BH78" s="356" t="str">
        <f>IF(BG78=1,"&lt;===", "")</f>
        <v/>
      </c>
      <c r="BI78" s="328"/>
      <c r="BJ78" s="451" t="str">
        <f>IF(P76&lt;&gt;"","Please Select","")</f>
        <v/>
      </c>
      <c r="BK78" s="451"/>
      <c r="BL78" s="328"/>
      <c r="BM78" s="328"/>
      <c r="BN78" s="328"/>
      <c r="BO78" s="328"/>
      <c r="BP78" s="364" t="str">
        <f>IF(AND(P76&lt;&gt;"",BJ78="Please Select",D417&lt;&gt;""),1, "")</f>
        <v/>
      </c>
      <c r="BQ78" s="356" t="str">
        <f>IF(BP78=1,"&lt;===", "")</f>
        <v/>
      </c>
      <c r="BR78" s="328"/>
      <c r="BS78" s="328"/>
      <c r="BT78" s="328"/>
      <c r="BU78" s="328"/>
      <c r="BV78" s="451" t="str">
        <f>IF(P76&lt;&gt;"","Please Select","")</f>
        <v/>
      </c>
      <c r="BW78" s="451"/>
      <c r="BX78" s="328"/>
      <c r="BY78" s="328"/>
      <c r="BZ78" s="328"/>
      <c r="CA78" s="328"/>
      <c r="CB78" s="328"/>
      <c r="CC78" s="328"/>
      <c r="CD78" s="328"/>
      <c r="CE78" s="364" t="str">
        <f>IF(AND(P76&lt;&gt;"",BV78="Please Select",D417&lt;&gt;""),1, "")</f>
        <v/>
      </c>
      <c r="CF78" s="356" t="str">
        <f>IF(CE78=1,"&lt;===", "")</f>
        <v/>
      </c>
    </row>
    <row r="79" spans="1:152" s="28" customFormat="1" ht="23.25" customHeight="1" x14ac:dyDescent="0.25">
      <c r="A79" s="265"/>
      <c r="B79" s="50" t="s">
        <v>96</v>
      </c>
      <c r="C79" s="37"/>
      <c r="D79" s="37"/>
      <c r="E79" s="37"/>
      <c r="F79" s="37"/>
      <c r="G79" s="37"/>
      <c r="H79" s="37"/>
      <c r="I79" s="37"/>
      <c r="J79" s="37"/>
      <c r="K79" s="37"/>
      <c r="L79" s="37"/>
      <c r="M79" s="37"/>
      <c r="N79" s="38"/>
      <c r="P79" s="260"/>
      <c r="Q79" s="115"/>
      <c r="R79" s="115"/>
      <c r="S79" s="115"/>
      <c r="T79" s="115"/>
      <c r="U79" s="115"/>
      <c r="V79" s="115"/>
      <c r="W79" s="115"/>
      <c r="X79" s="115"/>
      <c r="Y79" s="328"/>
      <c r="Z79" s="433"/>
      <c r="AA79" s="433"/>
      <c r="AB79" s="433"/>
      <c r="AC79" s="433"/>
      <c r="AD79" s="433"/>
      <c r="AE79" s="433"/>
      <c r="AF79" s="433"/>
      <c r="AG79" s="369" t="str">
        <f>IF(AND(P76&lt;&gt;"",Q81="Yes",Z78="",D417&lt;&gt;""),1, "")</f>
        <v/>
      </c>
      <c r="AH79" s="328"/>
      <c r="AI79" s="433"/>
      <c r="AJ79" s="433"/>
      <c r="AK79" s="433"/>
      <c r="AL79" s="433"/>
      <c r="AM79" s="433"/>
      <c r="AN79" s="433"/>
      <c r="AO79" s="433"/>
      <c r="AP79" s="369" t="str">
        <f>IF(AND(P76&lt;&gt;"",AI78="",D417&lt;&gt;""),1, "")</f>
        <v/>
      </c>
      <c r="AQ79" s="328"/>
      <c r="AR79" s="433"/>
      <c r="AS79" s="433"/>
      <c r="AT79" s="433"/>
      <c r="AU79" s="433"/>
      <c r="AV79" s="433"/>
      <c r="AW79" s="433"/>
      <c r="AX79" s="433"/>
      <c r="AY79" s="367" t="str">
        <f>IF(AND(P76&lt;&gt;"",AR78="",D417&lt;&gt;""),1, "")</f>
        <v/>
      </c>
      <c r="AZ79" s="328"/>
      <c r="BA79" s="333"/>
      <c r="BB79" s="333"/>
      <c r="BC79" s="333"/>
      <c r="BD79" s="333"/>
      <c r="BE79" s="333"/>
      <c r="BF79" s="333"/>
      <c r="BG79" s="333"/>
      <c r="BH79" s="107"/>
      <c r="BI79" s="107"/>
      <c r="BJ79" s="623" t="str">
        <f>IF(BJ78="Yes","Additional Comments:",IF(BJ78="No","Proceed to next question to the right ==&gt;",""))</f>
        <v/>
      </c>
      <c r="BK79" s="623"/>
      <c r="BL79" s="623"/>
      <c r="BM79" s="623"/>
      <c r="BN79" s="623"/>
      <c r="BO79" s="623"/>
      <c r="BP79" s="623"/>
      <c r="BQ79" s="337"/>
      <c r="BR79" s="328"/>
      <c r="BS79" s="328"/>
      <c r="BT79" s="328"/>
      <c r="BU79" s="328"/>
      <c r="BV79" s="432" t="str">
        <f>IF(BV78="Yes","What equipment was purchased to address the identified deficiencies?",IF(BV78="No","Proceed to next question below",""))</f>
        <v/>
      </c>
      <c r="BW79" s="432"/>
      <c r="BX79" s="432"/>
      <c r="BY79" s="432"/>
      <c r="BZ79" s="432"/>
      <c r="CA79" s="432"/>
      <c r="CB79" s="432"/>
      <c r="CC79" s="432"/>
      <c r="CD79" s="432"/>
      <c r="CE79" s="432"/>
      <c r="CF79" s="328"/>
    </row>
    <row r="80" spans="1:152" s="28" customFormat="1" ht="62.25" customHeight="1" x14ac:dyDescent="0.25">
      <c r="A80" s="265"/>
      <c r="B80" s="510" t="str">
        <f>"The National Registry Written Examination threshold is 70% (set by the National Registry) or the State Written Examination threshold is 70% (set by the State).  The success of any examination results will be computed over the most recent reporting year ("&amp;D4&amp;") based on the total number of graduates attempting the examination (i.e., unduplicated head count of attempters who pass)."</f>
        <v>The National Registry Written Examination threshold is 70% (set by the National Registry) or the State Written Examination threshold is 70% (set by the State).  The success of any examination results will be computed over the most recent reporting year (2018) based on the total number of graduates attempting the examination (i.e., unduplicated head count of attempters who pass).</v>
      </c>
      <c r="C80" s="511"/>
      <c r="D80" s="511"/>
      <c r="E80" s="511"/>
      <c r="F80" s="511"/>
      <c r="G80" s="511"/>
      <c r="H80" s="511"/>
      <c r="I80" s="511"/>
      <c r="J80" s="511"/>
      <c r="K80" s="511"/>
      <c r="L80" s="511"/>
      <c r="M80" s="511"/>
      <c r="N80" s="512"/>
      <c r="P80" s="290" t="str">
        <f>IF(P76&lt;&gt;"","2)","")</f>
        <v/>
      </c>
      <c r="Q80" s="432" t="str">
        <f>IF(P76&lt;&gt;"","Does the program administer a comprehensive cognitive examination at the completion of all course work?","")</f>
        <v/>
      </c>
      <c r="R80" s="432"/>
      <c r="S80" s="432"/>
      <c r="T80" s="432"/>
      <c r="U80" s="432"/>
      <c r="V80" s="432"/>
      <c r="W80" s="432"/>
      <c r="X80" s="330"/>
      <c r="Y80" s="328"/>
      <c r="Z80" s="433"/>
      <c r="AA80" s="433"/>
      <c r="AB80" s="433"/>
      <c r="AC80" s="433"/>
      <c r="AD80" s="433"/>
      <c r="AE80" s="433"/>
      <c r="AF80" s="433"/>
      <c r="AG80" s="334"/>
      <c r="AH80" s="331"/>
      <c r="AI80" s="433"/>
      <c r="AJ80" s="433"/>
      <c r="AK80" s="433"/>
      <c r="AL80" s="433"/>
      <c r="AM80" s="433"/>
      <c r="AN80" s="433"/>
      <c r="AO80" s="433"/>
      <c r="AP80" s="334"/>
      <c r="AQ80" s="328"/>
      <c r="AR80" s="433"/>
      <c r="AS80" s="433"/>
      <c r="AT80" s="433"/>
      <c r="AU80" s="433"/>
      <c r="AV80" s="433"/>
      <c r="AW80" s="433"/>
      <c r="AX80" s="433"/>
      <c r="AY80" s="271"/>
      <c r="AZ80" s="328"/>
      <c r="BA80" s="432" t="str">
        <f>IF(BA78="Yes","Explain how the deficiencies identified in the annual resource assessment may have contributed to poor student performance.",IF(BA78="No","Proceed to next question on the right ==&gt;",""))</f>
        <v/>
      </c>
      <c r="BB80" s="432"/>
      <c r="BC80" s="432"/>
      <c r="BD80" s="432"/>
      <c r="BE80" s="432"/>
      <c r="BF80" s="432"/>
      <c r="BG80" s="432"/>
      <c r="BH80" s="16"/>
      <c r="BI80" s="16"/>
      <c r="BJ80" s="433"/>
      <c r="BK80" s="433"/>
      <c r="BL80" s="433"/>
      <c r="BM80" s="433"/>
      <c r="BN80" s="433"/>
      <c r="BO80" s="433"/>
      <c r="BP80" s="433"/>
      <c r="BQ80" s="362" t="str">
        <f>IF(BQ83=1,"&lt;===", "")</f>
        <v/>
      </c>
      <c r="BR80" s="271"/>
      <c r="BS80" s="271"/>
      <c r="BT80" s="328"/>
      <c r="BU80" s="328"/>
      <c r="BV80" s="624"/>
      <c r="BW80" s="624"/>
      <c r="BX80" s="624"/>
      <c r="BY80" s="624"/>
      <c r="BZ80" s="624"/>
      <c r="CA80" s="624"/>
      <c r="CB80" s="624"/>
      <c r="CC80" s="624"/>
      <c r="CD80" s="624"/>
      <c r="CE80" s="624"/>
      <c r="CF80" s="356" t="str">
        <f>IF(CF83=1,"&lt;===", "")</f>
        <v/>
      </c>
    </row>
    <row r="81" spans="1:84" s="28" customFormat="1" ht="41.25" customHeight="1" x14ac:dyDescent="0.25">
      <c r="A81" s="265"/>
      <c r="B81" s="513" t="s">
        <v>97</v>
      </c>
      <c r="C81" s="514"/>
      <c r="D81" s="515"/>
      <c r="E81" s="36" t="str">
        <f>IF(AND($G$44&gt;=1,$G$44&lt;&gt;"Please Select"),"Cohort 
#1:","")</f>
        <v>Cohort 
#1:</v>
      </c>
      <c r="F81" s="36" t="str">
        <f>IF(AND($G$44&gt;=2,$G$44&lt;&gt;"Please Select"),"Cohort 
#2:","")</f>
        <v/>
      </c>
      <c r="G81" s="36" t="str">
        <f>IF(AND($G$44&gt;=3,$G$44&lt;&gt;"Please Select"),"Cohort 
#3:","")</f>
        <v/>
      </c>
      <c r="H81" s="36" t="str">
        <f>IF(AND($G$44&gt;=4,$G$44&lt;&gt;"Please Select"),"Cohort 
#4:","")</f>
        <v/>
      </c>
      <c r="I81" s="36" t="str">
        <f>IF(AND($G$44&gt;=5,$G$44&lt;&gt;"Please Select"),"Cohort 
#5:","")</f>
        <v/>
      </c>
      <c r="J81" s="36" t="str">
        <f>IF(AND($G$44&gt;=6,$G$44&lt;&gt;"Please Select"),"Cohort 
#6:","")</f>
        <v/>
      </c>
      <c r="K81" s="36" t="str">
        <f>IF(AND($G$44&gt;=7,$G$44&lt;&gt;"Please Select"),"Cohort 
#7:","")</f>
        <v/>
      </c>
      <c r="L81" s="36" t="str">
        <f>IF(AND($G$44&gt;=8,$G$44&lt;&gt;"Please Select"),"Cohort 
#8:","")</f>
        <v/>
      </c>
      <c r="M81" s="36" t="str">
        <f>IF(AND($G$44&gt;=9,$G$44&lt;&gt;"Please Select"),"Cohort 
#9:","")</f>
        <v/>
      </c>
      <c r="N81" s="36" t="s">
        <v>18</v>
      </c>
      <c r="P81" s="260"/>
      <c r="Q81" s="474" t="str">
        <f>IF(P76&lt;&gt;"","Please Select","")</f>
        <v/>
      </c>
      <c r="R81" s="474"/>
      <c r="S81" s="16"/>
      <c r="T81" s="16"/>
      <c r="U81" s="16"/>
      <c r="V81" s="16"/>
      <c r="W81" s="364" t="str">
        <f>IF(AND(P76&lt;&gt;"", Q81="Please Select",D417&lt;&gt;""),1, "")</f>
        <v/>
      </c>
      <c r="X81" s="356" t="str">
        <f>IF(W81=1,"&lt;===", "")</f>
        <v/>
      </c>
      <c r="Y81" s="328"/>
      <c r="Z81" s="433"/>
      <c r="AA81" s="433"/>
      <c r="AB81" s="433"/>
      <c r="AC81" s="433"/>
      <c r="AD81" s="433"/>
      <c r="AE81" s="433"/>
      <c r="AF81" s="433"/>
      <c r="AG81" s="334"/>
      <c r="AH81" s="328"/>
      <c r="AI81" s="433"/>
      <c r="AJ81" s="433"/>
      <c r="AK81" s="433"/>
      <c r="AL81" s="433"/>
      <c r="AM81" s="433"/>
      <c r="AN81" s="433"/>
      <c r="AO81" s="433"/>
      <c r="AP81" s="334"/>
      <c r="AQ81" s="328"/>
      <c r="AR81" s="433"/>
      <c r="AS81" s="433"/>
      <c r="AT81" s="433"/>
      <c r="AU81" s="433"/>
      <c r="AV81" s="433"/>
      <c r="AW81" s="433"/>
      <c r="AX81" s="433"/>
      <c r="AY81" s="271"/>
      <c r="AZ81" s="328"/>
      <c r="BA81" s="433"/>
      <c r="BB81" s="433"/>
      <c r="BC81" s="433"/>
      <c r="BD81" s="433"/>
      <c r="BE81" s="433"/>
      <c r="BF81" s="433"/>
      <c r="BG81" s="433"/>
      <c r="BH81" s="356" t="str">
        <f>IF(BH83=1,"&lt;===", "")</f>
        <v/>
      </c>
      <c r="BI81" s="16"/>
      <c r="BJ81" s="433"/>
      <c r="BK81" s="433"/>
      <c r="BL81" s="433"/>
      <c r="BM81" s="433"/>
      <c r="BN81" s="433"/>
      <c r="BO81" s="433"/>
      <c r="BP81" s="433"/>
      <c r="BQ81" s="271"/>
      <c r="BR81" s="271"/>
      <c r="BS81" s="271"/>
      <c r="BT81" s="328"/>
      <c r="BU81" s="328"/>
      <c r="BV81" s="624"/>
      <c r="BW81" s="624"/>
      <c r="BX81" s="624"/>
      <c r="BY81" s="624"/>
      <c r="BZ81" s="624"/>
      <c r="CA81" s="624"/>
      <c r="CB81" s="624"/>
      <c r="CC81" s="624"/>
      <c r="CD81" s="624"/>
      <c r="CE81" s="624"/>
      <c r="CF81" s="328"/>
    </row>
    <row r="82" spans="1:84" s="28" customFormat="1" ht="18" customHeight="1" x14ac:dyDescent="0.25">
      <c r="A82" s="265"/>
      <c r="B82" s="504" t="s">
        <v>20</v>
      </c>
      <c r="C82" s="505"/>
      <c r="D82" s="506"/>
      <c r="E82" s="85">
        <f>IF(ISBLANK(E50),"",E50)</f>
        <v>42970</v>
      </c>
      <c r="F82" s="85" t="str">
        <f t="shared" ref="F82:M82" si="6">IF(ISBLANK(F50),"",F50)</f>
        <v/>
      </c>
      <c r="G82" s="85" t="str">
        <f t="shared" si="6"/>
        <v/>
      </c>
      <c r="H82" s="85" t="str">
        <f t="shared" si="6"/>
        <v/>
      </c>
      <c r="I82" s="85" t="str">
        <f t="shared" si="6"/>
        <v/>
      </c>
      <c r="J82" s="85" t="str">
        <f t="shared" si="6"/>
        <v/>
      </c>
      <c r="K82" s="85" t="str">
        <f t="shared" si="6"/>
        <v/>
      </c>
      <c r="L82" s="85" t="str">
        <f t="shared" si="6"/>
        <v/>
      </c>
      <c r="M82" s="85" t="str">
        <f t="shared" si="6"/>
        <v/>
      </c>
      <c r="N82" s="86"/>
      <c r="P82" s="260"/>
      <c r="Q82" s="16"/>
      <c r="R82" s="16"/>
      <c r="S82" s="16"/>
      <c r="T82" s="16"/>
      <c r="U82" s="16"/>
      <c r="V82" s="16"/>
      <c r="W82" s="16"/>
      <c r="X82" s="16"/>
      <c r="Y82" s="328"/>
      <c r="Z82" s="433"/>
      <c r="AA82" s="433"/>
      <c r="AB82" s="433"/>
      <c r="AC82" s="433"/>
      <c r="AD82" s="433"/>
      <c r="AE82" s="433"/>
      <c r="AF82" s="433"/>
      <c r="AG82" s="328"/>
      <c r="AH82" s="328"/>
      <c r="AI82" s="328"/>
      <c r="AJ82" s="328"/>
      <c r="AK82" s="328"/>
      <c r="AL82" s="328"/>
      <c r="AM82" s="328"/>
      <c r="AN82" s="328"/>
      <c r="AO82" s="328"/>
      <c r="AP82" s="328"/>
      <c r="AQ82" s="328"/>
      <c r="AR82" s="433"/>
      <c r="AS82" s="433"/>
      <c r="AT82" s="433"/>
      <c r="AU82" s="433"/>
      <c r="AV82" s="433"/>
      <c r="AW82" s="433"/>
      <c r="AX82" s="433"/>
      <c r="AY82" s="328"/>
      <c r="AZ82" s="328"/>
      <c r="BA82" s="433"/>
      <c r="BB82" s="433"/>
      <c r="BC82" s="433"/>
      <c r="BD82" s="433"/>
      <c r="BE82" s="433"/>
      <c r="BF82" s="433"/>
      <c r="BG82" s="433"/>
      <c r="BH82" s="16"/>
      <c r="BI82" s="16"/>
      <c r="BJ82" s="433"/>
      <c r="BK82" s="433"/>
      <c r="BL82" s="433"/>
      <c r="BM82" s="433"/>
      <c r="BN82" s="433"/>
      <c r="BO82" s="433"/>
      <c r="BP82" s="433"/>
      <c r="BQ82" s="271"/>
      <c r="BR82" s="271"/>
      <c r="BS82" s="271"/>
      <c r="BT82" s="328"/>
      <c r="BU82" s="328"/>
      <c r="BV82" s="624"/>
      <c r="BW82" s="624"/>
      <c r="BX82" s="624"/>
      <c r="BY82" s="624"/>
      <c r="BZ82" s="624"/>
      <c r="CA82" s="624"/>
      <c r="CB82" s="624"/>
      <c r="CC82" s="624"/>
      <c r="CD82" s="624"/>
      <c r="CE82" s="624"/>
      <c r="CF82" s="328"/>
    </row>
    <row r="83" spans="1:84" s="28" customFormat="1" ht="18" customHeight="1" x14ac:dyDescent="0.25">
      <c r="A83" s="265"/>
      <c r="B83" s="507" t="s">
        <v>14</v>
      </c>
      <c r="C83" s="508"/>
      <c r="D83" s="32"/>
      <c r="E83" s="183">
        <f>IF(ISBLANK(E51),"",E51)</f>
        <v>43448</v>
      </c>
      <c r="F83" s="183" t="str">
        <f t="shared" ref="F83:M83" si="7">IF(ISBLANK(F51),"",F51)</f>
        <v/>
      </c>
      <c r="G83" s="183" t="str">
        <f t="shared" si="7"/>
        <v/>
      </c>
      <c r="H83" s="183" t="str">
        <f t="shared" si="7"/>
        <v/>
      </c>
      <c r="I83" s="183" t="str">
        <f t="shared" si="7"/>
        <v/>
      </c>
      <c r="J83" s="183" t="str">
        <f t="shared" si="7"/>
        <v/>
      </c>
      <c r="K83" s="183" t="str">
        <f t="shared" si="7"/>
        <v/>
      </c>
      <c r="L83" s="183" t="str">
        <f t="shared" si="7"/>
        <v/>
      </c>
      <c r="M83" s="183" t="str">
        <f t="shared" si="7"/>
        <v/>
      </c>
      <c r="N83" s="184"/>
      <c r="P83" s="260"/>
      <c r="Q83" s="16"/>
      <c r="R83" s="16"/>
      <c r="S83" s="16"/>
      <c r="T83" s="16"/>
      <c r="U83" s="16"/>
      <c r="V83" s="16"/>
      <c r="W83" s="16"/>
      <c r="X83" s="16"/>
      <c r="Y83" s="328"/>
      <c r="Z83" s="328"/>
      <c r="AA83" s="328"/>
      <c r="AB83" s="328"/>
      <c r="AC83" s="328"/>
      <c r="AD83" s="328"/>
      <c r="AE83" s="328"/>
      <c r="AF83" s="328"/>
      <c r="AG83" s="328"/>
      <c r="AH83" s="15"/>
      <c r="AI83" s="432" t="str">
        <f>IF(P76&lt;&gt;"","Have the weak content areas and the " &amp;G77&amp; " written examination results been discussed with the Faculty, Medical Director, and the Advisory Committee?","")</f>
        <v/>
      </c>
      <c r="AJ83" s="432"/>
      <c r="AK83" s="432"/>
      <c r="AL83" s="432"/>
      <c r="AM83" s="432"/>
      <c r="AN83" s="432"/>
      <c r="AO83" s="432"/>
      <c r="AP83" s="328"/>
      <c r="AQ83" s="328"/>
      <c r="AR83" s="328"/>
      <c r="AS83" s="328"/>
      <c r="AT83" s="328"/>
      <c r="AU83" s="328"/>
      <c r="AV83" s="328"/>
      <c r="AW83" s="328"/>
      <c r="AX83" s="328"/>
      <c r="AY83" s="328"/>
      <c r="AZ83" s="328"/>
      <c r="BA83" s="433"/>
      <c r="BB83" s="433"/>
      <c r="BC83" s="433"/>
      <c r="BD83" s="433"/>
      <c r="BE83" s="433"/>
      <c r="BF83" s="433"/>
      <c r="BG83" s="433"/>
      <c r="BH83" s="364" t="str">
        <f>IF(AND(BA78="Yes",BA81="",D417&lt;&gt;""),1, "")</f>
        <v/>
      </c>
      <c r="BI83" s="16"/>
      <c r="BJ83" s="433"/>
      <c r="BK83" s="433"/>
      <c r="BL83" s="433"/>
      <c r="BM83" s="433"/>
      <c r="BN83" s="433"/>
      <c r="BO83" s="433"/>
      <c r="BP83" s="433"/>
      <c r="BQ83" s="367" t="str">
        <f>IF(AND(BJ78="Yes",BJ80="",D417&lt;&gt;""),1, "")</f>
        <v/>
      </c>
      <c r="BR83" s="271"/>
      <c r="BS83" s="271"/>
      <c r="BT83" s="328"/>
      <c r="BU83" s="328"/>
      <c r="BV83" s="624"/>
      <c r="BW83" s="624"/>
      <c r="BX83" s="624"/>
      <c r="BY83" s="624"/>
      <c r="BZ83" s="624"/>
      <c r="CA83" s="624"/>
      <c r="CB83" s="624"/>
      <c r="CC83" s="624"/>
      <c r="CD83" s="624"/>
      <c r="CE83" s="624"/>
      <c r="CF83" s="364" t="str">
        <f>IF(AND(BV78="Yes",BV80="",D417&lt;&gt;""),1, "")</f>
        <v/>
      </c>
    </row>
    <row r="84" spans="1:84" s="28" customFormat="1" ht="80.25" customHeight="1" x14ac:dyDescent="0.25">
      <c r="A84" s="265"/>
      <c r="B84" s="499" t="s">
        <v>91</v>
      </c>
      <c r="C84" s="500"/>
      <c r="D84" s="500"/>
      <c r="E84" s="185">
        <f>IF(E$64&lt;&gt;"", E$64,"")</f>
        <v>1</v>
      </c>
      <c r="F84" s="185" t="str">
        <f t="shared" ref="F84:N84" si="8">IF(F$64&lt;&gt;"", F$64,"")</f>
        <v/>
      </c>
      <c r="G84" s="185" t="str">
        <f t="shared" si="8"/>
        <v/>
      </c>
      <c r="H84" s="185" t="str">
        <f t="shared" si="8"/>
        <v/>
      </c>
      <c r="I84" s="185" t="str">
        <f t="shared" si="8"/>
        <v/>
      </c>
      <c r="J84" s="185" t="str">
        <f t="shared" si="8"/>
        <v/>
      </c>
      <c r="K84" s="185" t="str">
        <f t="shared" si="8"/>
        <v/>
      </c>
      <c r="L84" s="185" t="str">
        <f t="shared" si="8"/>
        <v/>
      </c>
      <c r="M84" s="185" t="str">
        <f t="shared" si="8"/>
        <v/>
      </c>
      <c r="N84" s="185">
        <f t="shared" si="8"/>
        <v>1</v>
      </c>
      <c r="P84" s="343"/>
      <c r="Q84" s="432" t="str">
        <f>IF(Q81="Yes","Does the comprehensive cognitive examination test different cognitive levels (i.e., knowledge, application,problem-solving)?",IF(Q81="No","Proceed to the next question to the right ==&gt;",""))</f>
        <v/>
      </c>
      <c r="R84" s="432"/>
      <c r="S84" s="432"/>
      <c r="T84" s="432"/>
      <c r="U84" s="432"/>
      <c r="V84" s="432"/>
      <c r="W84" s="432"/>
      <c r="X84" s="336"/>
      <c r="Y84" s="608" t="str">
        <f>IF(P76&lt;&gt;"","3)","")</f>
        <v/>
      </c>
      <c r="Z84" s="432" t="str">
        <f>IF(P76&lt;&gt;"","Are the students successful on the standardized courses (i.e., ACLS, trauma, pediatric courses)?","")</f>
        <v/>
      </c>
      <c r="AA84" s="432"/>
      <c r="AB84" s="432"/>
      <c r="AC84" s="432"/>
      <c r="AD84" s="432"/>
      <c r="AE84" s="432"/>
      <c r="AF84" s="432"/>
      <c r="AG84" s="336"/>
      <c r="AH84" s="331" t="str">
        <f>IF(P76&lt;&gt;"","6)","")</f>
        <v/>
      </c>
      <c r="AI84" s="432"/>
      <c r="AJ84" s="432"/>
      <c r="AK84" s="432"/>
      <c r="AL84" s="432"/>
      <c r="AM84" s="432"/>
      <c r="AN84" s="432"/>
      <c r="AO84" s="432"/>
      <c r="AP84" s="336"/>
      <c r="AQ84" s="608" t="str">
        <f>IF(P76&lt;&gt;"","8)","")</f>
        <v/>
      </c>
      <c r="AR84" s="432" t="str">
        <f>IF(P76&lt;&gt;"","Did the employer and/or graduate surveys show weaknesses in content areas?","")</f>
        <v/>
      </c>
      <c r="AS84" s="432"/>
      <c r="AT84" s="432"/>
      <c r="AU84" s="432"/>
      <c r="AV84" s="432"/>
      <c r="AW84" s="432"/>
      <c r="AX84" s="432"/>
      <c r="AY84" s="330"/>
      <c r="AZ84" s="328"/>
      <c r="BA84" s="433"/>
      <c r="BB84" s="433"/>
      <c r="BC84" s="433"/>
      <c r="BD84" s="433"/>
      <c r="BE84" s="433"/>
      <c r="BF84" s="433"/>
      <c r="BG84" s="433"/>
      <c r="BH84" s="16"/>
      <c r="BI84" s="16"/>
      <c r="BJ84" s="433"/>
      <c r="BK84" s="433"/>
      <c r="BL84" s="433"/>
      <c r="BM84" s="433"/>
      <c r="BN84" s="433"/>
      <c r="BO84" s="433"/>
      <c r="BP84" s="433"/>
      <c r="BQ84" s="271"/>
      <c r="BR84" s="271"/>
      <c r="BS84" s="271"/>
      <c r="BT84" s="328"/>
      <c r="BU84" s="328"/>
      <c r="BV84" s="624"/>
      <c r="BW84" s="624"/>
      <c r="BX84" s="624"/>
      <c r="BY84" s="624"/>
      <c r="BZ84" s="624"/>
      <c r="CA84" s="624"/>
      <c r="CB84" s="624"/>
      <c r="CC84" s="624"/>
      <c r="CD84" s="624"/>
      <c r="CE84" s="624"/>
      <c r="CF84" s="328"/>
    </row>
    <row r="85" spans="1:84" s="308" customFormat="1" ht="48.75" customHeight="1" x14ac:dyDescent="0.25">
      <c r="A85" s="265"/>
      <c r="B85" s="307"/>
      <c r="C85" s="606" t="s">
        <v>98</v>
      </c>
      <c r="D85" s="607"/>
      <c r="E85" s="223">
        <v>1</v>
      </c>
      <c r="F85" s="223"/>
      <c r="G85" s="223"/>
      <c r="H85" s="223"/>
      <c r="I85" s="223"/>
      <c r="J85" s="223"/>
      <c r="K85" s="223"/>
      <c r="L85" s="223"/>
      <c r="M85" s="223"/>
      <c r="N85" s="226">
        <f>IF(COUNT(E85:M85),SUM(E85:M85),"")</f>
        <v>1</v>
      </c>
      <c r="O85" s="296" t="str">
        <f>IF(P85=1, "&lt;===", "")</f>
        <v/>
      </c>
      <c r="P85" s="364" t="str">
        <f>IF(OR(AND(E84&lt;&gt;"",E85="",D417&lt;&gt;""),AND(F84&lt;&gt;"",F85="",D417&lt;&gt;""),AND(G84&lt;&gt;"",G85="",D417&lt;&gt;""),AND(H84&lt;&gt;"",H85="",D417&lt;&gt;""),AND(I84&lt;&gt;"",I85="",D417&lt;&gt;""),AND(J84&lt;&gt;"",J85="",D417&lt;&gt;""),AND(K84&lt;&gt;"",K85="",D417&lt;&gt;""),AND(L84&lt;&gt;"",L85="",D417&lt;&gt;""),AND(M84&lt;&gt;"",M85="",D417&lt;&gt;"")), 1, "")</f>
        <v/>
      </c>
      <c r="Q85" s="432"/>
      <c r="R85" s="432"/>
      <c r="S85" s="432"/>
      <c r="T85" s="432"/>
      <c r="U85" s="432"/>
      <c r="V85" s="432"/>
      <c r="W85" s="432"/>
      <c r="X85" s="336"/>
      <c r="Y85" s="608"/>
      <c r="Z85" s="432"/>
      <c r="AA85" s="432"/>
      <c r="AB85" s="432"/>
      <c r="AC85" s="432"/>
      <c r="AD85" s="432"/>
      <c r="AE85" s="432"/>
      <c r="AF85" s="432"/>
      <c r="AG85" s="336"/>
      <c r="AH85" s="331"/>
      <c r="AI85" s="432"/>
      <c r="AJ85" s="432"/>
      <c r="AK85" s="432"/>
      <c r="AL85" s="432"/>
      <c r="AM85" s="432"/>
      <c r="AN85" s="432"/>
      <c r="AO85" s="432"/>
      <c r="AP85" s="336"/>
      <c r="AQ85" s="608"/>
      <c r="AR85" s="432"/>
      <c r="AS85" s="432"/>
      <c r="AT85" s="432"/>
      <c r="AU85" s="432"/>
      <c r="AV85" s="432"/>
      <c r="AW85" s="432"/>
      <c r="AX85" s="432"/>
      <c r="AY85" s="330"/>
      <c r="AZ85" s="328"/>
      <c r="BA85" s="433"/>
      <c r="BB85" s="433"/>
      <c r="BC85" s="433"/>
      <c r="BD85" s="433"/>
      <c r="BE85" s="433"/>
      <c r="BF85" s="433"/>
      <c r="BG85" s="433"/>
      <c r="BH85" s="16"/>
      <c r="BI85" s="16"/>
      <c r="BJ85" s="433"/>
      <c r="BK85" s="433"/>
      <c r="BL85" s="433"/>
      <c r="BM85" s="433"/>
      <c r="BN85" s="433"/>
      <c r="BO85" s="433"/>
      <c r="BP85" s="433"/>
      <c r="BQ85" s="271"/>
      <c r="BR85" s="271"/>
      <c r="BS85" s="271"/>
      <c r="BT85" s="328"/>
      <c r="BU85" s="328"/>
      <c r="BV85" s="624"/>
      <c r="BW85" s="624"/>
      <c r="BX85" s="624"/>
      <c r="BY85" s="624"/>
      <c r="BZ85" s="624"/>
      <c r="CA85" s="624"/>
      <c r="CB85" s="624"/>
      <c r="CC85" s="624"/>
      <c r="CD85" s="624"/>
      <c r="CE85" s="624"/>
      <c r="CF85" s="328"/>
    </row>
    <row r="86" spans="1:84" s="28" customFormat="1" ht="35.25" customHeight="1" x14ac:dyDescent="0.25">
      <c r="A86" s="265"/>
      <c r="B86" s="319"/>
      <c r="C86" s="516" t="s">
        <v>90</v>
      </c>
      <c r="D86" s="517"/>
      <c r="E86" s="320">
        <v>0</v>
      </c>
      <c r="F86" s="320"/>
      <c r="G86" s="320"/>
      <c r="H86" s="320"/>
      <c r="I86" s="320"/>
      <c r="J86" s="320"/>
      <c r="K86" s="320"/>
      <c r="L86" s="320"/>
      <c r="M86" s="320"/>
      <c r="N86" s="321">
        <f>IF(COUNT(E86:M86),SUM(E86:M86),"")</f>
        <v>0</v>
      </c>
      <c r="O86" s="296" t="str">
        <f>IF(P86=1, "&lt;===", "")</f>
        <v/>
      </c>
      <c r="P86" s="364" t="str">
        <f>IF(OR(AND(E84&lt;&gt;"",E86="",D417&lt;&gt;""),AND(F84&lt;&gt;"",F86="",D417&lt;&gt;""),AND(G84&lt;&gt;"",G86="",D417&lt;&gt;""),AND(H84&lt;&gt;"",H86="",D417&lt;&gt;""),AND(I84&lt;&gt;"",I86="",D417&lt;&gt;""),AND(J84&lt;&gt;"",J86="",D417&lt;&gt;""),AND(K84&lt;&gt;"",K86="",D417&lt;&gt;""),AND(L84&lt;&gt;"",L86="",D417&lt;&gt;""),AND(M84&lt;&gt;"",M86="",D417&lt;&gt;"")), 1, "")</f>
        <v/>
      </c>
      <c r="Q86" s="474" t="str">
        <f>IF(Q81="Yes","Please Select","")</f>
        <v/>
      </c>
      <c r="R86" s="474"/>
      <c r="S86" s="16"/>
      <c r="T86" s="16"/>
      <c r="U86" s="16"/>
      <c r="V86" s="16"/>
      <c r="W86" s="364" t="str">
        <f>IF(AND(P76&lt;&gt;"",Q81="Yes",Q86="Please Select",D417&lt;&gt;""),1, "")</f>
        <v/>
      </c>
      <c r="X86" s="356" t="str">
        <f>IF(W86=1,"&lt;===", "")</f>
        <v/>
      </c>
      <c r="Y86" s="328"/>
      <c r="Z86" s="451" t="str">
        <f>IF(P76&lt;&gt;"","Please Select","")</f>
        <v/>
      </c>
      <c r="AA86" s="451"/>
      <c r="AB86" s="6"/>
      <c r="AC86" s="6"/>
      <c r="AD86" s="6"/>
      <c r="AE86" s="6"/>
      <c r="AF86" s="364" t="str">
        <f>IF(AND(P76&lt;&gt;"", Z86="Please Select",D417&lt;&gt;""),1, "")</f>
        <v/>
      </c>
      <c r="AG86" s="356" t="str">
        <f>IF(AF86=1,"&lt;===", "")</f>
        <v/>
      </c>
      <c r="AH86" s="328"/>
      <c r="AI86" s="451" t="str">
        <f>IF(P76&lt;&gt;"","Please Select","")</f>
        <v/>
      </c>
      <c r="AJ86" s="451"/>
      <c r="AK86" s="328"/>
      <c r="AL86" s="328"/>
      <c r="AM86" s="328"/>
      <c r="AN86" s="328"/>
      <c r="AO86" s="364" t="str">
        <f>IF(AND(P76&lt;&gt;"",AI86="Please Select",D417&lt;&gt;""),1, "")</f>
        <v/>
      </c>
      <c r="AP86" s="356" t="str">
        <f>IF(AO86=1,"&lt;===", "")</f>
        <v/>
      </c>
      <c r="AQ86" s="328"/>
      <c r="AR86" s="451" t="str">
        <f>IF(P76&lt;&gt;"","Please Select","")</f>
        <v/>
      </c>
      <c r="AS86" s="451"/>
      <c r="AT86" s="328"/>
      <c r="AU86" s="328"/>
      <c r="AV86" s="328"/>
      <c r="AW86" s="328"/>
      <c r="AX86" s="364" t="str">
        <f>IF(AND(P76&lt;&gt;"",AR86="Please Select",D417&lt;&gt;""),1, "")</f>
        <v/>
      </c>
      <c r="AY86" s="356" t="str">
        <f>IF(AX86=1,"&lt;===", "")</f>
        <v/>
      </c>
      <c r="AZ86" s="328"/>
      <c r="BA86" s="433"/>
      <c r="BB86" s="433"/>
      <c r="BC86" s="433"/>
      <c r="BD86" s="433"/>
      <c r="BE86" s="433"/>
      <c r="BF86" s="433"/>
      <c r="BG86" s="433"/>
      <c r="BH86" s="16"/>
      <c r="BI86" s="16"/>
      <c r="BJ86" s="433"/>
      <c r="BK86" s="433"/>
      <c r="BL86" s="433"/>
      <c r="BM86" s="433"/>
      <c r="BN86" s="433"/>
      <c r="BO86" s="433"/>
      <c r="BP86" s="433"/>
      <c r="BQ86" s="271"/>
      <c r="BR86" s="271"/>
      <c r="BS86" s="271"/>
      <c r="BT86" s="328"/>
      <c r="BU86" s="328"/>
      <c r="BV86" s="328"/>
      <c r="BW86" s="328"/>
      <c r="BX86" s="328"/>
      <c r="BY86" s="328"/>
      <c r="BZ86" s="328"/>
      <c r="CA86" s="328"/>
      <c r="CB86" s="328"/>
      <c r="CC86" s="328"/>
      <c r="CD86" s="328"/>
      <c r="CE86" s="328"/>
      <c r="CF86" s="328"/>
    </row>
    <row r="87" spans="1:84" s="28" customFormat="1" ht="39.75" customHeight="1" x14ac:dyDescent="0.25">
      <c r="A87" s="265"/>
      <c r="B87" s="316"/>
      <c r="C87" s="518" t="s">
        <v>110</v>
      </c>
      <c r="D87" s="519"/>
      <c r="E87" s="314">
        <v>1</v>
      </c>
      <c r="F87" s="314"/>
      <c r="G87" s="314"/>
      <c r="H87" s="314"/>
      <c r="I87" s="314"/>
      <c r="J87" s="314"/>
      <c r="K87" s="314"/>
      <c r="L87" s="314"/>
      <c r="M87" s="314"/>
      <c r="N87" s="315">
        <f>IF(COUNT(E87:M87),SUM(E87:M87),"")</f>
        <v>1</v>
      </c>
      <c r="O87" s="296" t="str">
        <f>IF(P87=1, "&lt;===", "")</f>
        <v/>
      </c>
      <c r="P87" s="370" t="str">
        <f>IF(OR(AND(E84&lt;&gt;"",E87="",D417&lt;&gt;""),AND(F84&lt;&gt;"",F87="",D417&lt;&gt;""),AND(G84&lt;&gt;"",G87="",D417&lt;&gt;""),AND(H84&lt;&gt;"",H87="",D417&lt;&gt;""),AND(I84&lt;&gt;"",I87="",D417&lt;&gt;""),AND(J84&lt;&gt;"",J87="",D417&lt;&gt;""),AND(K84&lt;&gt;"",K87="",D417&lt;&gt;""),AND(L84&lt;&gt;"",L87="",D417&lt;&gt;""),AND(M84&lt;&gt;"",M87="",D417&lt;&gt;"")), 1, "")</f>
        <v/>
      </c>
      <c r="Q87" s="16"/>
      <c r="R87" s="16"/>
      <c r="S87" s="16"/>
      <c r="T87" s="16"/>
      <c r="U87" s="16"/>
      <c r="V87" s="16"/>
      <c r="W87" s="16"/>
      <c r="X87" s="16"/>
      <c r="Y87" s="328"/>
      <c r="Z87" s="6"/>
      <c r="AA87" s="6"/>
      <c r="AB87" s="6"/>
      <c r="AC87" s="6"/>
      <c r="AD87" s="6"/>
      <c r="AE87" s="6"/>
      <c r="AF87" s="6"/>
      <c r="AG87" s="6"/>
      <c r="AH87" s="328"/>
      <c r="AI87" s="328"/>
      <c r="AJ87" s="328"/>
      <c r="AK87" s="328"/>
      <c r="AL87" s="328"/>
      <c r="AM87" s="328"/>
      <c r="AN87" s="328"/>
      <c r="AO87" s="328"/>
      <c r="AP87" s="328"/>
      <c r="AQ87" s="328"/>
      <c r="AR87" s="328"/>
      <c r="AS87" s="328"/>
      <c r="AT87" s="328"/>
      <c r="AU87" s="328"/>
      <c r="AV87" s="328"/>
      <c r="AW87" s="328"/>
      <c r="AX87" s="328"/>
      <c r="AY87" s="328"/>
      <c r="AZ87" s="328"/>
      <c r="BA87" s="433"/>
      <c r="BB87" s="433"/>
      <c r="BC87" s="433"/>
      <c r="BD87" s="433"/>
      <c r="BE87" s="433"/>
      <c r="BF87" s="433"/>
      <c r="BG87" s="433"/>
      <c r="BH87" s="16"/>
      <c r="BI87" s="16"/>
      <c r="BJ87" s="433"/>
      <c r="BK87" s="433"/>
      <c r="BL87" s="433"/>
      <c r="BM87" s="433"/>
      <c r="BN87" s="433"/>
      <c r="BO87" s="433"/>
      <c r="BP87" s="433"/>
      <c r="BQ87" s="271"/>
      <c r="BR87" s="271"/>
      <c r="BS87" s="271"/>
      <c r="BT87" s="328"/>
      <c r="BU87" s="332" t="str">
        <f>IF(P76&lt;&gt;"","12)","")</f>
        <v/>
      </c>
      <c r="BV87" s="596" t="str">
        <f>IF(P76&lt;&gt;"","After analyzing the preceding areas, what is the program's action plan for the next year?","")</f>
        <v/>
      </c>
      <c r="BW87" s="596"/>
      <c r="BX87" s="596"/>
      <c r="BY87" s="596"/>
      <c r="BZ87" s="596"/>
      <c r="CA87" s="596"/>
      <c r="CB87" s="596"/>
      <c r="CC87" s="596"/>
      <c r="CD87" s="596"/>
      <c r="CE87" s="596"/>
      <c r="CF87" s="328"/>
    </row>
    <row r="88" spans="1:84" s="28" customFormat="1" ht="33" customHeight="1" x14ac:dyDescent="0.25">
      <c r="A88" s="265"/>
      <c r="B88" s="485" t="str">
        <f>"Total Passing in " &amp;D4</f>
        <v>Total Passing in 2018</v>
      </c>
      <c r="C88" s="486"/>
      <c r="D88" s="32"/>
      <c r="E88" s="92">
        <f>IF(AND(E$84&lt;&gt;"",E$85&lt;&gt;"",E$86&lt;&gt;"",E$87&lt;&gt;""),E$87,"")</f>
        <v>1</v>
      </c>
      <c r="F88" s="92" t="str">
        <f t="shared" ref="F88:M88" si="9">IF(AND(F$84&lt;&gt;"",F$85&lt;&gt;"",F$86&lt;&gt;"",F$87&lt;&gt;""),F$87,"")</f>
        <v/>
      </c>
      <c r="G88" s="92" t="str">
        <f t="shared" si="9"/>
        <v/>
      </c>
      <c r="H88" s="92" t="str">
        <f t="shared" si="9"/>
        <v/>
      </c>
      <c r="I88" s="92" t="str">
        <f t="shared" si="9"/>
        <v/>
      </c>
      <c r="J88" s="92" t="str">
        <f t="shared" si="9"/>
        <v/>
      </c>
      <c r="K88" s="92" t="str">
        <f t="shared" si="9"/>
        <v/>
      </c>
      <c r="L88" s="92" t="str">
        <f t="shared" si="9"/>
        <v/>
      </c>
      <c r="M88" s="92" t="str">
        <f t="shared" si="9"/>
        <v/>
      </c>
      <c r="N88" s="92">
        <f>IF(COUNT(E88:M88),SUM(E88:M88),"")</f>
        <v>1</v>
      </c>
      <c r="P88" s="3"/>
      <c r="Q88" s="432" t="str">
        <f>IF(Q81="Yes","What method(s) is/are used to determine that the comprehensive cognitive examination is reliable and valid for your program?",IF(Q81="No","Proceed to the next question to the right ==&gt;",""))</f>
        <v/>
      </c>
      <c r="R88" s="432"/>
      <c r="S88" s="432"/>
      <c r="T88" s="432"/>
      <c r="U88" s="432"/>
      <c r="V88" s="432"/>
      <c r="W88" s="432"/>
      <c r="X88" s="336"/>
      <c r="Y88" s="331" t="str">
        <f>IF(P76&lt;&gt;"","4)","")</f>
        <v/>
      </c>
      <c r="Z88" s="432" t="str">
        <f>IF(P76&lt;&gt;"","What are the weakest content areas of the program curriculum based on the " &amp;G77&amp; " written examination results?","")</f>
        <v/>
      </c>
      <c r="AA88" s="432"/>
      <c r="AB88" s="432"/>
      <c r="AC88" s="432"/>
      <c r="AD88" s="432"/>
      <c r="AE88" s="432"/>
      <c r="AF88" s="432"/>
      <c r="AG88" s="336"/>
      <c r="AH88" s="328"/>
      <c r="AI88" s="432" t="str">
        <f>IF(AI86="No","Explain why the weak content areas and the " &amp; G77 &amp; " written exams results have not been discussed with the Faculty?",IF(AI86="Yes","Proceed to next question on the right ==&gt;",""))</f>
        <v/>
      </c>
      <c r="AJ88" s="432"/>
      <c r="AK88" s="432"/>
      <c r="AL88" s="432"/>
      <c r="AM88" s="432"/>
      <c r="AN88" s="432"/>
      <c r="AO88" s="432"/>
      <c r="AP88" s="336"/>
      <c r="AQ88" s="328"/>
      <c r="AR88" s="432" t="str">
        <f>IF(AR86="Yes","Provide specific areas of where the employer and/or graduate surveys show weaknesses in content areas.",IF(AR86="No","Proceed to next question on the right ==&gt;",""))</f>
        <v/>
      </c>
      <c r="AS88" s="432"/>
      <c r="AT88" s="432"/>
      <c r="AU88" s="432"/>
      <c r="AV88" s="432"/>
      <c r="AW88" s="432"/>
      <c r="AX88" s="432"/>
      <c r="AY88" s="336"/>
      <c r="AZ88" s="328"/>
      <c r="BA88" s="433"/>
      <c r="BB88" s="433"/>
      <c r="BC88" s="433"/>
      <c r="BD88" s="433"/>
      <c r="BE88" s="433"/>
      <c r="BF88" s="433"/>
      <c r="BG88" s="433"/>
      <c r="BH88" s="16"/>
      <c r="BI88" s="16"/>
      <c r="BJ88" s="433"/>
      <c r="BK88" s="433"/>
      <c r="BL88" s="433"/>
      <c r="BM88" s="433"/>
      <c r="BN88" s="433"/>
      <c r="BO88" s="433"/>
      <c r="BP88" s="433"/>
      <c r="BQ88" s="271"/>
      <c r="BR88" s="271"/>
      <c r="BS88" s="271"/>
      <c r="BT88" s="328"/>
      <c r="BU88" s="328"/>
      <c r="BV88" s="433"/>
      <c r="BW88" s="433"/>
      <c r="BX88" s="433"/>
      <c r="BY88" s="433"/>
      <c r="BZ88" s="433"/>
      <c r="CA88" s="433"/>
      <c r="CB88" s="433"/>
      <c r="CC88" s="433"/>
      <c r="CD88" s="433"/>
      <c r="CE88" s="433"/>
      <c r="CF88" s="356" t="str">
        <f>IF(CF89=1,"&lt;===", "")</f>
        <v/>
      </c>
    </row>
    <row r="89" spans="1:84" s="28" customFormat="1" ht="45.75" customHeight="1" x14ac:dyDescent="0.25">
      <c r="A89" s="265"/>
      <c r="B89" s="501" t="s">
        <v>108</v>
      </c>
      <c r="C89" s="502"/>
      <c r="D89" s="503"/>
      <c r="E89" s="248">
        <f t="shared" ref="E89:M89" si="10">IF(E$84="","",IFERROR(E$88/E$85,0))</f>
        <v>1</v>
      </c>
      <c r="F89" s="248" t="str">
        <f t="shared" si="10"/>
        <v/>
      </c>
      <c r="G89" s="248" t="str">
        <f t="shared" si="10"/>
        <v/>
      </c>
      <c r="H89" s="248" t="str">
        <f t="shared" si="10"/>
        <v/>
      </c>
      <c r="I89" s="248" t="str">
        <f t="shared" si="10"/>
        <v/>
      </c>
      <c r="J89" s="248" t="str">
        <f t="shared" si="10"/>
        <v/>
      </c>
      <c r="K89" s="248" t="str">
        <f t="shared" si="10"/>
        <v/>
      </c>
      <c r="L89" s="248" t="str">
        <f t="shared" si="10"/>
        <v/>
      </c>
      <c r="M89" s="248" t="str">
        <f t="shared" si="10"/>
        <v/>
      </c>
      <c r="N89" s="249">
        <f>IF(AND(N52&lt;&gt;"",N85&lt;&gt;"",N88&lt;&gt;""),N88/N85,0)</f>
        <v>1</v>
      </c>
      <c r="O89" s="301"/>
      <c r="P89" s="278"/>
      <c r="Q89" s="433"/>
      <c r="R89" s="433"/>
      <c r="S89" s="433"/>
      <c r="T89" s="433"/>
      <c r="U89" s="433"/>
      <c r="V89" s="433"/>
      <c r="W89" s="433"/>
      <c r="X89" s="361" t="str">
        <f>IF(X90=1,"&lt;===", "")</f>
        <v/>
      </c>
      <c r="Y89" s="328"/>
      <c r="Z89" s="433"/>
      <c r="AA89" s="433"/>
      <c r="AB89" s="433"/>
      <c r="AC89" s="433"/>
      <c r="AD89" s="433"/>
      <c r="AE89" s="433"/>
      <c r="AF89" s="433"/>
      <c r="AG89" s="361" t="str">
        <f>IF(AG90=1,"&lt;===", "")</f>
        <v/>
      </c>
      <c r="AH89" s="328"/>
      <c r="AI89" s="433"/>
      <c r="AJ89" s="433"/>
      <c r="AK89" s="433"/>
      <c r="AL89" s="433"/>
      <c r="AM89" s="433"/>
      <c r="AN89" s="433"/>
      <c r="AO89" s="433"/>
      <c r="AP89" s="362" t="str">
        <f>IF(AP90=1,"&lt;===", "")</f>
        <v/>
      </c>
      <c r="AQ89" s="328"/>
      <c r="AR89" s="433"/>
      <c r="AS89" s="433"/>
      <c r="AT89" s="433"/>
      <c r="AU89" s="433"/>
      <c r="AV89" s="433"/>
      <c r="AW89" s="433"/>
      <c r="AX89" s="433"/>
      <c r="AY89" s="362" t="str">
        <f>IF(AY90=1,"&lt;===", "")</f>
        <v/>
      </c>
      <c r="AZ89" s="328"/>
      <c r="BA89" s="433"/>
      <c r="BB89" s="433"/>
      <c r="BC89" s="433"/>
      <c r="BD89" s="433"/>
      <c r="BE89" s="433"/>
      <c r="BF89" s="433"/>
      <c r="BG89" s="433"/>
      <c r="BH89" s="16"/>
      <c r="BI89" s="331"/>
      <c r="BJ89" s="433"/>
      <c r="BK89" s="433"/>
      <c r="BL89" s="433"/>
      <c r="BM89" s="433"/>
      <c r="BN89" s="433"/>
      <c r="BO89" s="433"/>
      <c r="BP89" s="433"/>
      <c r="BQ89" s="271"/>
      <c r="BR89" s="271"/>
      <c r="BS89" s="271"/>
      <c r="BT89" s="328"/>
      <c r="BU89" s="328"/>
      <c r="BV89" s="433"/>
      <c r="BW89" s="433"/>
      <c r="BX89" s="433"/>
      <c r="BY89" s="433"/>
      <c r="BZ89" s="433"/>
      <c r="CA89" s="433"/>
      <c r="CB89" s="433"/>
      <c r="CC89" s="433"/>
      <c r="CD89" s="433"/>
      <c r="CE89" s="433"/>
      <c r="CF89" s="364" t="str">
        <f>IF(AND(P76&lt;&gt;"",BV88="",D417&lt;&gt;""),1, "")</f>
        <v/>
      </c>
    </row>
    <row r="90" spans="1:84" s="74" customFormat="1" ht="54.75" customHeight="1" x14ac:dyDescent="0.25">
      <c r="A90" s="265"/>
      <c r="B90" s="467" t="str">
        <f>IF(AND(N88&lt;&gt;"",N89&lt;0.7,N84&lt;&gt;"",N86&lt;&gt;"",N85&lt;&gt;"",N87&lt;&gt;"",N89&lt;&gt;"",B91=""),"The outcome threshold of 70% has not been met.  
Please complete the analysis and action plan questions to the right ==&gt;.",IF(AND(N89&gt;=0.7,N85&lt;&gt;"",N86&lt;&gt;"",N87&lt;&gt;"",N88&lt;&gt;"",N89&lt;=100%,B91=""),"The outcome threshold of 70% has been met.  
Please complete the next table below.",""))</f>
        <v>The outcome threshold of 70% has been met.  
Please complete the next table below.</v>
      </c>
      <c r="C90" s="468"/>
      <c r="D90" s="468"/>
      <c r="E90" s="468"/>
      <c r="F90" s="468"/>
      <c r="G90" s="468"/>
      <c r="H90" s="468"/>
      <c r="I90" s="468"/>
      <c r="J90" s="468"/>
      <c r="K90" s="468"/>
      <c r="L90" s="468"/>
      <c r="M90" s="468"/>
      <c r="N90" s="469"/>
      <c r="O90" s="28"/>
      <c r="P90" s="260"/>
      <c r="Q90" s="433"/>
      <c r="R90" s="433"/>
      <c r="S90" s="433"/>
      <c r="T90" s="433"/>
      <c r="U90" s="433"/>
      <c r="V90" s="433"/>
      <c r="W90" s="433"/>
      <c r="X90" s="369" t="str">
        <f>IF(AND(P76&lt;&gt;"",Q81="Yes",Q89="",D417&lt;&gt;""),1, "")</f>
        <v/>
      </c>
      <c r="Y90" s="328"/>
      <c r="Z90" s="433"/>
      <c r="AA90" s="433"/>
      <c r="AB90" s="433"/>
      <c r="AC90" s="433"/>
      <c r="AD90" s="433"/>
      <c r="AE90" s="433"/>
      <c r="AF90" s="433"/>
      <c r="AG90" s="369" t="str">
        <f>IF(AND(P76&lt;&gt;"",Z89="",D417&lt;&gt;""),1, "")</f>
        <v/>
      </c>
      <c r="AH90" s="328"/>
      <c r="AI90" s="433"/>
      <c r="AJ90" s="433"/>
      <c r="AK90" s="433"/>
      <c r="AL90" s="433"/>
      <c r="AM90" s="433"/>
      <c r="AN90" s="433"/>
      <c r="AO90" s="433"/>
      <c r="AP90" s="367" t="str">
        <f>IF(AND(AI86="No",AI89="",D417&lt;&gt;""),1, "")</f>
        <v/>
      </c>
      <c r="AQ90" s="328"/>
      <c r="AR90" s="433"/>
      <c r="AS90" s="433"/>
      <c r="AT90" s="433"/>
      <c r="AU90" s="433"/>
      <c r="AV90" s="433"/>
      <c r="AW90" s="433"/>
      <c r="AX90" s="433"/>
      <c r="AY90" s="367" t="str">
        <f>IF(AND(AR86="Yes",AR89="",D417&lt;&gt;""),1, "")</f>
        <v/>
      </c>
      <c r="AZ90" s="328"/>
      <c r="BA90" s="433"/>
      <c r="BB90" s="433"/>
      <c r="BC90" s="433"/>
      <c r="BD90" s="433"/>
      <c r="BE90" s="433"/>
      <c r="BF90" s="433"/>
      <c r="BG90" s="433"/>
      <c r="BH90" s="328"/>
      <c r="BI90" s="328"/>
      <c r="BJ90" s="433"/>
      <c r="BK90" s="433"/>
      <c r="BL90" s="433"/>
      <c r="BM90" s="433"/>
      <c r="BN90" s="433"/>
      <c r="BO90" s="433"/>
      <c r="BP90" s="433"/>
      <c r="BQ90" s="271"/>
      <c r="BR90" s="271"/>
      <c r="BS90" s="271"/>
      <c r="BT90" s="328"/>
      <c r="BU90" s="328"/>
      <c r="BV90" s="433"/>
      <c r="BW90" s="433"/>
      <c r="BX90" s="433"/>
      <c r="BY90" s="433"/>
      <c r="BZ90" s="433"/>
      <c r="CA90" s="433"/>
      <c r="CB90" s="433"/>
      <c r="CC90" s="433"/>
      <c r="CD90" s="433"/>
      <c r="CE90" s="433"/>
      <c r="CF90" s="328"/>
    </row>
    <row r="91" spans="1:84" s="28" customFormat="1" ht="52.5" customHeight="1" x14ac:dyDescent="0.25">
      <c r="A91" s="265"/>
      <c r="B91" s="509" t="str">
        <f>IF(OR(AND(E86&gt;E87,E86&lt;&gt;"",E87&lt;&gt;""),AND(F86&gt;F87,F86&lt;&gt;"",F87&lt;&gt;""),AND(G86&gt;G87,G86&lt;&gt;"",G87&lt;&gt;""),AND(H86&gt;H87,H86&lt;&gt;"",H87&lt;&gt;""),AND(I86&gt;I87,I86&lt;&gt;"",I87&lt;&gt;""),AND(J86&gt;J87,J86&lt;&gt;"",J87&lt;&gt;""),AND(K86&gt;K87,K86&lt;&gt;"",K87&lt;&gt;""),AND(L86&gt;L87,L86&lt;&gt;"",L87&lt;&gt;""),AND(M86&gt;M87,M86&lt;&gt;"",M87&lt;&gt;"")),"Error has occurred; The 3rd attempt cumulative pass rate number cannot be less than the first attempt number",IF(OR(AND(E84&lt;E85,E86&lt;&gt;"",E87&lt;&gt;""),AND(F84&lt;F85,F86&lt;&gt;"",F87&lt;&gt;""),AND(G84&lt;G85,G86&lt;&gt;"",G87&lt;&gt;""),AND(H84&lt;H85,H86&lt;&gt;"",H87&lt;&gt;""),AND(I84&lt;I85,I86&lt;&gt;"",I87&lt;&gt;""),AND(J84&lt;J85,J86&lt;&gt;"",J87&lt;&gt;""),AND(K84&lt;K85,K86&lt;&gt;"",K87&lt;&gt;""),AND(L84&lt;L85,L86&lt;&gt;"",L87&lt;&gt;""),AND(M84&lt;M85,M86&lt;&gt;"",M87&lt;&gt;"")),"Error has occurred; The number of graduates attempting 
cannot be more than the total graduates in the reporting year",IF(OR(AND(E87&gt;E85,E86&lt;&gt;"",E87&lt;&gt;""),AND(F87&gt;F85,F86&lt;&gt;"",F87&lt;&gt;""),AND(G87&gt;G85,G86&lt;&gt;"",G87&lt;&gt;""),AND(H87&gt;H85,H86&lt;&gt;"",H87&lt;&gt;""),AND(I87&gt;I85,I86&lt;&gt;"",I87&lt;&gt;""),AND(J87&gt;J85,J86&lt;&gt;"",J87&lt;&gt;""),AND(K87&gt;K85,K86&lt;&gt;"",K87&lt;&gt;""),AND(L87&gt;L85,L86&lt;&gt;"",L87&lt;&gt;""),AND(M87&gt;M85,M86&lt;&gt;"",M87&lt;&gt;"")),"Error has occurred; The 3rd attempt cumulative pass rate number cannot be more than 
the number of graduates attempting the certification examination or state license",IF(OR(AND(E84&lt;&gt;"",E88="",E89=0),AND(F84&lt;&gt;"",F88="",F89=0),AND(G84&lt;&gt;"",G88="",G89=0),AND(H84&lt;&gt;"",H88="",H89=0),AND(I84&lt;&gt;"",I88="",I89=0),AND(J84&lt;&gt;"",J88="",J89=0),AND(K84&lt;&gt;"",K88="",K89=0),AND(L84&lt;&gt;"",L88="",L89=0),AND(M84&lt;&gt;"",M88="",M89=0)),"Please Note: An empty or blank cell is not the same a zero.",""))))</f>
        <v/>
      </c>
      <c r="C91" s="509"/>
      <c r="D91" s="509"/>
      <c r="E91" s="509"/>
      <c r="F91" s="509"/>
      <c r="G91" s="509"/>
      <c r="H91" s="509"/>
      <c r="I91" s="509"/>
      <c r="J91" s="509"/>
      <c r="K91" s="509"/>
      <c r="L91" s="509"/>
      <c r="M91" s="509"/>
      <c r="N91" s="509"/>
      <c r="O91" s="74"/>
      <c r="P91" s="291"/>
      <c r="Q91" s="433"/>
      <c r="R91" s="433"/>
      <c r="S91" s="433"/>
      <c r="T91" s="433"/>
      <c r="U91" s="433"/>
      <c r="V91" s="433"/>
      <c r="W91" s="433"/>
      <c r="X91" s="334"/>
      <c r="Y91" s="328"/>
      <c r="Z91" s="433"/>
      <c r="AA91" s="433"/>
      <c r="AB91" s="433"/>
      <c r="AC91" s="433"/>
      <c r="AD91" s="433"/>
      <c r="AE91" s="433"/>
      <c r="AF91" s="433"/>
      <c r="AG91" s="334"/>
      <c r="AH91" s="328"/>
      <c r="AI91" s="433"/>
      <c r="AJ91" s="433"/>
      <c r="AK91" s="433"/>
      <c r="AL91" s="433"/>
      <c r="AM91" s="433"/>
      <c r="AN91" s="433"/>
      <c r="AO91" s="433"/>
      <c r="AP91" s="271"/>
      <c r="AQ91" s="328"/>
      <c r="AR91" s="433"/>
      <c r="AS91" s="433"/>
      <c r="AT91" s="433"/>
      <c r="AU91" s="433"/>
      <c r="AV91" s="433"/>
      <c r="AW91" s="433"/>
      <c r="AX91" s="433"/>
      <c r="AY91" s="271"/>
      <c r="AZ91" s="328"/>
      <c r="BA91" s="433"/>
      <c r="BB91" s="433"/>
      <c r="BC91" s="433"/>
      <c r="BD91" s="433"/>
      <c r="BE91" s="433"/>
      <c r="BF91" s="433"/>
      <c r="BG91" s="433"/>
      <c r="BH91" s="328"/>
      <c r="BI91" s="328"/>
      <c r="BJ91" s="433"/>
      <c r="BK91" s="433"/>
      <c r="BL91" s="433"/>
      <c r="BM91" s="433"/>
      <c r="BN91" s="433"/>
      <c r="BO91" s="433"/>
      <c r="BP91" s="433"/>
      <c r="BQ91" s="271"/>
      <c r="BR91" s="271"/>
      <c r="BS91" s="271"/>
      <c r="BT91" s="328"/>
      <c r="BU91" s="328"/>
      <c r="BV91" s="433"/>
      <c r="BW91" s="433"/>
      <c r="BX91" s="433"/>
      <c r="BY91" s="433"/>
      <c r="BZ91" s="433"/>
      <c r="CA91" s="433"/>
      <c r="CB91" s="433"/>
      <c r="CC91" s="433"/>
      <c r="CD91" s="433"/>
      <c r="CE91" s="433"/>
      <c r="CF91" s="328"/>
    </row>
    <row r="92" spans="1:84" s="28" customFormat="1" x14ac:dyDescent="0.25">
      <c r="A92" s="266"/>
      <c r="P92" s="260"/>
      <c r="Q92" s="433"/>
      <c r="R92" s="433"/>
      <c r="S92" s="433"/>
      <c r="T92" s="433"/>
      <c r="U92" s="433"/>
      <c r="V92" s="433"/>
      <c r="W92" s="433"/>
      <c r="X92" s="328"/>
      <c r="Y92" s="328"/>
      <c r="Z92" s="433"/>
      <c r="AA92" s="433"/>
      <c r="AB92" s="433"/>
      <c r="AC92" s="433"/>
      <c r="AD92" s="433"/>
      <c r="AE92" s="433"/>
      <c r="AF92" s="433"/>
      <c r="AG92" s="328"/>
      <c r="AH92" s="328"/>
      <c r="AI92" s="433"/>
      <c r="AJ92" s="433"/>
      <c r="AK92" s="433"/>
      <c r="AL92" s="433"/>
      <c r="AM92" s="433"/>
      <c r="AN92" s="433"/>
      <c r="AO92" s="433"/>
      <c r="AP92" s="328"/>
      <c r="AQ92" s="328"/>
      <c r="AR92" s="433"/>
      <c r="AS92" s="433"/>
      <c r="AT92" s="433"/>
      <c r="AU92" s="433"/>
      <c r="AV92" s="433"/>
      <c r="AW92" s="433"/>
      <c r="AX92" s="433"/>
      <c r="AY92" s="328"/>
      <c r="AZ92" s="328"/>
      <c r="BA92" s="433"/>
      <c r="BB92" s="433"/>
      <c r="BC92" s="433"/>
      <c r="BD92" s="433"/>
      <c r="BE92" s="433"/>
      <c r="BF92" s="433"/>
      <c r="BG92" s="433"/>
      <c r="BH92" s="328"/>
      <c r="BI92" s="328"/>
      <c r="BJ92" s="433"/>
      <c r="BK92" s="433"/>
      <c r="BL92" s="433"/>
      <c r="BM92" s="433"/>
      <c r="BN92" s="433"/>
      <c r="BO92" s="433"/>
      <c r="BP92" s="433"/>
      <c r="BQ92" s="328"/>
      <c r="BR92" s="328"/>
      <c r="BS92" s="328"/>
      <c r="BT92" s="328"/>
      <c r="BU92" s="328"/>
      <c r="BV92" s="328"/>
      <c r="BW92" s="328"/>
      <c r="BX92" s="328"/>
      <c r="BY92" s="328"/>
      <c r="BZ92" s="328"/>
      <c r="CA92" s="328"/>
      <c r="CB92" s="328"/>
      <c r="CC92" s="328"/>
      <c r="CD92" s="328"/>
      <c r="CE92" s="328"/>
      <c r="CF92" s="328"/>
    </row>
    <row r="93" spans="1:84" s="28" customFormat="1" ht="101.25" customHeight="1" x14ac:dyDescent="0.25">
      <c r="A93" s="265"/>
      <c r="B93" s="491" t="s">
        <v>109</v>
      </c>
      <c r="C93" s="492"/>
      <c r="D93" s="492"/>
      <c r="E93" s="492"/>
      <c r="F93" s="492"/>
      <c r="G93" s="492"/>
      <c r="H93" s="492"/>
      <c r="I93" s="492"/>
      <c r="J93" s="492"/>
      <c r="K93" s="492"/>
      <c r="L93" s="492"/>
      <c r="M93" s="492"/>
      <c r="N93" s="493"/>
      <c r="P93" s="260"/>
      <c r="Q93" s="433"/>
      <c r="R93" s="433"/>
      <c r="S93" s="433"/>
      <c r="T93" s="433"/>
      <c r="U93" s="433"/>
      <c r="V93" s="433"/>
      <c r="W93" s="433"/>
      <c r="X93" s="328"/>
      <c r="Y93" s="328"/>
      <c r="Z93" s="433"/>
      <c r="AA93" s="433"/>
      <c r="AB93" s="433"/>
      <c r="AC93" s="433"/>
      <c r="AD93" s="433"/>
      <c r="AE93" s="433"/>
      <c r="AF93" s="433"/>
      <c r="AG93" s="328"/>
      <c r="AH93" s="328"/>
      <c r="AI93" s="433"/>
      <c r="AJ93" s="433"/>
      <c r="AK93" s="433"/>
      <c r="AL93" s="433"/>
      <c r="AM93" s="433"/>
      <c r="AN93" s="433"/>
      <c r="AO93" s="433"/>
      <c r="AP93" s="328"/>
      <c r="AQ93" s="328"/>
      <c r="AR93" s="433"/>
      <c r="AS93" s="433"/>
      <c r="AT93" s="433"/>
      <c r="AU93" s="433"/>
      <c r="AV93" s="433"/>
      <c r="AW93" s="433"/>
      <c r="AX93" s="433"/>
      <c r="AY93" s="328"/>
      <c r="AZ93" s="328"/>
      <c r="BA93" s="433"/>
      <c r="BB93" s="433"/>
      <c r="BC93" s="433"/>
      <c r="BD93" s="433"/>
      <c r="BE93" s="433"/>
      <c r="BF93" s="433"/>
      <c r="BG93" s="433"/>
      <c r="BH93" s="328"/>
      <c r="BI93" s="328"/>
      <c r="BJ93" s="433"/>
      <c r="BK93" s="433"/>
      <c r="BL93" s="433"/>
      <c r="BM93" s="433"/>
      <c r="BN93" s="433"/>
      <c r="BO93" s="433"/>
      <c r="BP93" s="433"/>
      <c r="BQ93" s="328"/>
      <c r="BR93" s="328"/>
      <c r="BS93" s="328"/>
      <c r="BT93" s="328"/>
      <c r="BU93" s="328"/>
      <c r="BV93" s="328"/>
      <c r="BW93" s="328"/>
      <c r="BX93" s="328"/>
      <c r="BY93" s="328"/>
      <c r="BZ93" s="328"/>
      <c r="CA93" s="328"/>
      <c r="CB93" s="328"/>
      <c r="CC93" s="328"/>
      <c r="CD93" s="328"/>
      <c r="CE93" s="328"/>
      <c r="CF93" s="328"/>
    </row>
    <row r="94" spans="1:84" s="26" customFormat="1" x14ac:dyDescent="0.25">
      <c r="A94" s="265"/>
      <c r="B94" s="440"/>
      <c r="C94" s="440"/>
      <c r="P94" s="328"/>
      <c r="BJ94" s="341"/>
    </row>
    <row r="95" spans="1:84" s="26" customFormat="1" x14ac:dyDescent="0.25">
      <c r="A95" s="265"/>
      <c r="B95" s="440"/>
      <c r="C95" s="440"/>
    </row>
    <row r="96" spans="1:84" s="262" customFormat="1" ht="15" customHeight="1" x14ac:dyDescent="0.25">
      <c r="A96" s="17"/>
      <c r="P96" s="312"/>
      <c r="Q96" s="260"/>
      <c r="BM96" s="628" t="str">
        <f>IF(P100&lt;&gt;"", "&lt;== Once the analysis and action plan questions 
        have been completed, CLICK HERE to proceed
        to the next section or scroll back", "")</f>
        <v/>
      </c>
      <c r="BN96" s="628"/>
      <c r="BO96" s="628"/>
      <c r="BP96" s="628"/>
      <c r="BQ96" s="628"/>
    </row>
    <row r="97" spans="1:84" s="26" customFormat="1" ht="15" customHeight="1" x14ac:dyDescent="0.25">
      <c r="A97" s="265"/>
      <c r="P97" s="312"/>
      <c r="Q97" s="260"/>
      <c r="R97" s="28"/>
      <c r="S97" s="28"/>
      <c r="T97" s="28"/>
      <c r="U97" s="28"/>
      <c r="V97" s="28"/>
      <c r="W97" s="28"/>
      <c r="X97" s="28"/>
      <c r="Y97" s="28"/>
      <c r="BM97" s="628"/>
      <c r="BN97" s="628"/>
      <c r="BO97" s="628"/>
      <c r="BP97" s="628"/>
      <c r="BQ97" s="628"/>
      <c r="BR97" s="311"/>
      <c r="CB97" s="313"/>
      <c r="CC97" s="313"/>
      <c r="CD97" s="313"/>
      <c r="CE97" s="313"/>
      <c r="CF97" s="313"/>
    </row>
    <row r="98" spans="1:84" s="110" customFormat="1" ht="15" customHeight="1" x14ac:dyDescent="0.25">
      <c r="A98" s="265"/>
      <c r="B98" s="24"/>
      <c r="C98" s="25">
        <f>$D$14</f>
        <v>600045</v>
      </c>
      <c r="D98" s="408" t="str">
        <f>$D$16</f>
        <v>Youngstown State University</v>
      </c>
      <c r="E98" s="408"/>
      <c r="F98" s="408"/>
      <c r="G98" s="408"/>
      <c r="H98" s="408"/>
      <c r="I98" s="408"/>
      <c r="J98" s="408"/>
      <c r="K98" s="408"/>
      <c r="P98" s="441" t="str">
        <f>IF(P100&lt;&gt;"",$D$14,"")</f>
        <v/>
      </c>
      <c r="Q98" s="441"/>
      <c r="R98" s="448" t="str">
        <f>IF(P100&lt;&gt;"",$D$16,"")</f>
        <v/>
      </c>
      <c r="S98" s="448"/>
      <c r="T98" s="448"/>
      <c r="U98" s="448"/>
      <c r="V98" s="448"/>
      <c r="W98" s="448"/>
      <c r="X98" s="448"/>
      <c r="Y98" s="448"/>
      <c r="Z98" s="448"/>
      <c r="AA98" s="448"/>
      <c r="AI98" s="441" t="str">
        <f>IF(P100&lt;&gt;"",$D$14,"")</f>
        <v/>
      </c>
      <c r="AJ98" s="441"/>
      <c r="AK98" s="448" t="str">
        <f>IF(P100&lt;&gt;"",$D$16,"")</f>
        <v/>
      </c>
      <c r="AL98" s="448"/>
      <c r="AM98" s="448"/>
      <c r="AN98" s="448"/>
      <c r="AO98" s="448"/>
      <c r="AP98" s="448"/>
      <c r="AQ98" s="448"/>
      <c r="AR98" s="448"/>
      <c r="AS98" s="448"/>
      <c r="AT98" s="448"/>
      <c r="BA98" s="441" t="str">
        <f>IF(P100&lt;&gt;"",$D$14,"")</f>
        <v/>
      </c>
      <c r="BB98" s="441"/>
      <c r="BC98" s="448" t="str">
        <f>IF(P100&lt;&gt;"",$D$16,"")</f>
        <v/>
      </c>
      <c r="BD98" s="448"/>
      <c r="BE98" s="448"/>
      <c r="BF98" s="448"/>
      <c r="BG98" s="448"/>
      <c r="BH98" s="448"/>
      <c r="BI98" s="448"/>
      <c r="BJ98" s="448"/>
      <c r="BK98" s="448"/>
      <c r="BL98" s="448"/>
      <c r="BM98" s="628"/>
      <c r="BN98" s="628"/>
      <c r="BO98" s="628"/>
      <c r="BP98" s="628"/>
      <c r="BQ98" s="628"/>
      <c r="BT98" s="441"/>
      <c r="BU98" s="441"/>
      <c r="BV98" s="448"/>
      <c r="BW98" s="448"/>
      <c r="BX98" s="448"/>
      <c r="BY98" s="448"/>
      <c r="BZ98" s="448"/>
      <c r="CA98" s="313"/>
      <c r="CB98" s="313"/>
      <c r="CC98" s="313"/>
      <c r="CD98" s="313"/>
      <c r="CE98" s="313"/>
      <c r="CF98" s="16"/>
    </row>
    <row r="99" spans="1:84" s="110" customFormat="1" x14ac:dyDescent="0.25">
      <c r="A99" s="265"/>
      <c r="B99" s="440"/>
      <c r="C99" s="440"/>
      <c r="P99" s="260"/>
      <c r="R99" s="448" t="str">
        <f>IF(P100&lt;&gt;"","Positive (Job) Placement","")</f>
        <v/>
      </c>
      <c r="S99" s="448"/>
      <c r="T99" s="448"/>
      <c r="U99" s="448"/>
      <c r="V99" s="448"/>
      <c r="AK99" s="448" t="str">
        <f>IF(P100&lt;&gt;"","Positive (Job) Placement","")</f>
        <v/>
      </c>
      <c r="AL99" s="448"/>
      <c r="AM99" s="448"/>
      <c r="AN99" s="448"/>
      <c r="AO99" s="448"/>
      <c r="BC99" s="448" t="str">
        <f>IF(P100&lt;&gt;"","Positive (Job) Placement","")</f>
        <v/>
      </c>
      <c r="BD99" s="448"/>
      <c r="BE99" s="448"/>
      <c r="BF99" s="448"/>
      <c r="BG99" s="448"/>
      <c r="BM99" s="311"/>
      <c r="BN99" s="311"/>
      <c r="BO99" s="311"/>
      <c r="BP99" s="311"/>
      <c r="BQ99" s="311"/>
      <c r="BV99" s="448"/>
      <c r="BW99" s="448"/>
      <c r="BX99" s="448"/>
      <c r="BY99" s="448"/>
      <c r="BZ99" s="448"/>
      <c r="CA99" s="313"/>
      <c r="CB99" s="313"/>
      <c r="CC99" s="313"/>
      <c r="CD99" s="313"/>
      <c r="CE99" s="313"/>
    </row>
    <row r="100" spans="1:84" s="110" customFormat="1" ht="18.75" customHeight="1" x14ac:dyDescent="0.25">
      <c r="A100" s="265"/>
      <c r="B100" s="109"/>
      <c r="C100" s="109"/>
      <c r="D100" s="109"/>
      <c r="E100" s="109"/>
      <c r="F100" s="112"/>
      <c r="G100" s="123"/>
      <c r="H100" s="123"/>
      <c r="P100" s="626" t="str">
        <f>IF(AND(B112="The outcome threshold of 70% has not been met.  
Please complete the analysis and action plan questions to the right ==&gt;.",B113=""),"1)","")</f>
        <v/>
      </c>
      <c r="Q100" s="449" t="str">
        <f>IF(P100&lt;&gt;"","When do you survey your graduates to determine if they are employed (or volunteering) as a Paramedic?","")</f>
        <v/>
      </c>
      <c r="R100" s="449"/>
      <c r="S100" s="449"/>
      <c r="T100" s="449"/>
      <c r="U100" s="449"/>
      <c r="V100" s="449"/>
      <c r="W100" s="449"/>
      <c r="X100" s="142"/>
      <c r="Y100" s="452" t="str">
        <f>IF(P100&lt;&gt;"","3)","")</f>
        <v/>
      </c>
      <c r="Z100" s="449" t="str">
        <f>IF(P100&lt;&gt;"","Does your institution have a placement office?","")</f>
        <v/>
      </c>
      <c r="AA100" s="449"/>
      <c r="AB100" s="449"/>
      <c r="AC100" s="449"/>
      <c r="AD100" s="449"/>
      <c r="AE100" s="449"/>
      <c r="AF100" s="449"/>
      <c r="AG100" s="137"/>
      <c r="AI100" s="449" t="str">
        <f>IF(P100&lt;&gt;"","Why do you think your graduates are not employed in their field or continuing their education within 10 months of graduation?","")</f>
        <v/>
      </c>
      <c r="AJ100" s="449"/>
      <c r="AK100" s="449"/>
      <c r="AL100" s="449"/>
      <c r="AM100" s="449"/>
      <c r="AN100" s="449"/>
      <c r="AO100" s="449"/>
      <c r="AQ100" s="452" t="str">
        <f>IF(P100&lt;&gt;"","5)","")</f>
        <v/>
      </c>
      <c r="AR100" s="449" t="str">
        <f>IF(P100&lt;&gt;"","List specific conclusions resulting from your analysis:","")</f>
        <v/>
      </c>
      <c r="AS100" s="449"/>
      <c r="AT100" s="449"/>
      <c r="AU100" s="449"/>
      <c r="AV100" s="449"/>
      <c r="AW100" s="449"/>
      <c r="AX100" s="449"/>
      <c r="AY100" s="137"/>
      <c r="AZ100" s="452" t="str">
        <f>IF(P100&lt;&gt;"","6)","")</f>
        <v/>
      </c>
      <c r="BA100" s="449" t="str">
        <f>IF(P100&lt;&gt;"","What is the program's action plan and the timetable for those actions to address each of your conclusions?","")</f>
        <v/>
      </c>
      <c r="BB100" s="449"/>
      <c r="BC100" s="449"/>
      <c r="BD100" s="449"/>
      <c r="BE100" s="449"/>
      <c r="BF100" s="449"/>
      <c r="BG100" s="449"/>
      <c r="BH100" s="137"/>
      <c r="BJ100" s="269"/>
      <c r="BK100" s="269"/>
      <c r="BL100" s="269"/>
      <c r="BM100" s="269"/>
      <c r="BN100" s="269"/>
      <c r="BO100" s="269"/>
      <c r="BP100" s="269"/>
    </row>
    <row r="101" spans="1:84" s="110" customFormat="1" x14ac:dyDescent="0.25">
      <c r="A101" s="265"/>
      <c r="P101" s="626"/>
      <c r="Q101" s="449"/>
      <c r="R101" s="449"/>
      <c r="S101" s="449"/>
      <c r="T101" s="449"/>
      <c r="U101" s="449"/>
      <c r="V101" s="449"/>
      <c r="W101" s="449"/>
      <c r="X101" s="142"/>
      <c r="Y101" s="452"/>
      <c r="Z101" s="449"/>
      <c r="AA101" s="449"/>
      <c r="AB101" s="449"/>
      <c r="AC101" s="449"/>
      <c r="AD101" s="449"/>
      <c r="AE101" s="449"/>
      <c r="AF101" s="449"/>
      <c r="AG101" s="137"/>
      <c r="AH101" s="113" t="str">
        <f>IF(P100&lt;&gt;"","4)","")</f>
        <v/>
      </c>
      <c r="AI101" s="449"/>
      <c r="AJ101" s="449"/>
      <c r="AK101" s="449"/>
      <c r="AL101" s="449"/>
      <c r="AM101" s="449"/>
      <c r="AN101" s="449"/>
      <c r="AO101" s="449"/>
      <c r="AP101" s="142"/>
      <c r="AQ101" s="452"/>
      <c r="AR101" s="449"/>
      <c r="AS101" s="449"/>
      <c r="AT101" s="449"/>
      <c r="AU101" s="449"/>
      <c r="AV101" s="449"/>
      <c r="AW101" s="449"/>
      <c r="AX101" s="449"/>
      <c r="AY101" s="137"/>
      <c r="AZ101" s="452"/>
      <c r="BA101" s="449"/>
      <c r="BB101" s="449"/>
      <c r="BC101" s="449"/>
      <c r="BD101" s="449"/>
      <c r="BE101" s="449"/>
      <c r="BF101" s="449"/>
      <c r="BG101" s="449"/>
      <c r="BH101" s="137"/>
      <c r="BI101" s="113"/>
      <c r="BJ101" s="269"/>
      <c r="BK101" s="269"/>
      <c r="BL101" s="269"/>
      <c r="BM101" s="269"/>
      <c r="BN101" s="269"/>
      <c r="BO101" s="269"/>
      <c r="BP101" s="269"/>
      <c r="BQ101" s="142"/>
      <c r="BR101" s="142"/>
      <c r="BS101" s="142"/>
      <c r="BU101" s="113"/>
      <c r="BV101" s="596"/>
      <c r="BW101" s="596"/>
      <c r="BX101" s="596"/>
      <c r="BY101" s="596"/>
      <c r="BZ101" s="596"/>
      <c r="CA101" s="596"/>
      <c r="CB101" s="596"/>
      <c r="CC101" s="596"/>
      <c r="CD101" s="596"/>
      <c r="CE101" s="596"/>
    </row>
    <row r="102" spans="1:84" s="110" customFormat="1" ht="23.25" customHeight="1" x14ac:dyDescent="0.25">
      <c r="A102" s="265"/>
      <c r="B102" s="117" t="s">
        <v>32</v>
      </c>
      <c r="C102" s="118"/>
      <c r="D102" s="118"/>
      <c r="E102" s="118"/>
      <c r="F102" s="118"/>
      <c r="G102" s="118"/>
      <c r="H102" s="118"/>
      <c r="I102" s="118"/>
      <c r="J102" s="118"/>
      <c r="K102" s="118"/>
      <c r="L102" s="118"/>
      <c r="M102" s="118"/>
      <c r="N102" s="119"/>
      <c r="P102" s="287"/>
      <c r="Q102" s="428"/>
      <c r="R102" s="428"/>
      <c r="S102" s="428"/>
      <c r="T102" s="428"/>
      <c r="U102" s="428"/>
      <c r="V102" s="428"/>
      <c r="W102" s="428"/>
      <c r="X102" s="296" t="str">
        <f>IF(X103=1,"&lt;===", "")</f>
        <v/>
      </c>
      <c r="Z102" s="429" t="str">
        <f>IF(P100&lt;&gt;"","Please Select","")</f>
        <v/>
      </c>
      <c r="AA102" s="429"/>
      <c r="AB102" s="270"/>
      <c r="AC102" s="270"/>
      <c r="AD102" s="270"/>
      <c r="AE102" s="270"/>
      <c r="AF102" s="369" t="str">
        <f>IF(AND(P100&lt;&gt;"", Z102="Please Select",D417&lt;&gt;""),1, "")</f>
        <v/>
      </c>
      <c r="AG102" s="361" t="str">
        <f>IF(AF102=1,"&lt;===", "")</f>
        <v/>
      </c>
      <c r="AI102" s="433"/>
      <c r="AJ102" s="433"/>
      <c r="AK102" s="433"/>
      <c r="AL102" s="433"/>
      <c r="AM102" s="433"/>
      <c r="AN102" s="433"/>
      <c r="AO102" s="433"/>
      <c r="AP102" s="361" t="str">
        <f>IF(AP103=1,"&lt;===", "")</f>
        <v/>
      </c>
      <c r="AR102" s="613"/>
      <c r="AS102" s="613"/>
      <c r="AT102" s="613"/>
      <c r="AU102" s="613"/>
      <c r="AV102" s="613"/>
      <c r="AW102" s="613"/>
      <c r="AX102" s="613"/>
      <c r="AY102" s="362" t="str">
        <f>IF(AY103=1,"&lt;===", "")</f>
        <v/>
      </c>
      <c r="BA102" s="433"/>
      <c r="BB102" s="433"/>
      <c r="BC102" s="433"/>
      <c r="BD102" s="433"/>
      <c r="BE102" s="433"/>
      <c r="BF102" s="433"/>
      <c r="BG102" s="433"/>
      <c r="BH102" s="356" t="str">
        <f>IF(BH103=1,"&lt;===", "")</f>
        <v/>
      </c>
      <c r="BJ102" s="451"/>
      <c r="BK102" s="451"/>
      <c r="BV102" s="275"/>
      <c r="BW102" s="275"/>
    </row>
    <row r="103" spans="1:84" s="110" customFormat="1" ht="62.25" customHeight="1" x14ac:dyDescent="0.25">
      <c r="A103" s="265"/>
      <c r="B103" s="569" t="s">
        <v>112</v>
      </c>
      <c r="C103" s="570"/>
      <c r="D103" s="570"/>
      <c r="E103" s="570"/>
      <c r="F103" s="570"/>
      <c r="G103" s="570"/>
      <c r="H103" s="570"/>
      <c r="I103" s="570"/>
      <c r="J103" s="570"/>
      <c r="K103" s="570"/>
      <c r="L103" s="570"/>
      <c r="M103" s="570"/>
      <c r="N103" s="571"/>
      <c r="P103" s="260"/>
      <c r="Q103" s="428"/>
      <c r="R103" s="428"/>
      <c r="S103" s="428"/>
      <c r="T103" s="428"/>
      <c r="U103" s="428"/>
      <c r="V103" s="428"/>
      <c r="W103" s="428"/>
      <c r="X103" s="300" t="str">
        <f>IF(AND(P100&lt;&gt;"", Q102="",D417&lt;&gt;""),1, "")</f>
        <v/>
      </c>
      <c r="Z103" s="430" t="str">
        <f>IF(Z102="No","Proceed to next question on the right ==&gt;","")</f>
        <v/>
      </c>
      <c r="AA103" s="430"/>
      <c r="AB103" s="430"/>
      <c r="AC103" s="430"/>
      <c r="AD103" s="430"/>
      <c r="AE103" s="430"/>
      <c r="AF103" s="430"/>
      <c r="AG103" s="139"/>
      <c r="AI103" s="433"/>
      <c r="AJ103" s="433"/>
      <c r="AK103" s="433"/>
      <c r="AL103" s="433"/>
      <c r="AM103" s="433"/>
      <c r="AN103" s="433"/>
      <c r="AO103" s="433"/>
      <c r="AP103" s="369" t="str">
        <f>IF(AND(P100&lt;&gt;"", AI102="",D417&lt;&gt;""),1, "")</f>
        <v/>
      </c>
      <c r="AR103" s="613"/>
      <c r="AS103" s="613"/>
      <c r="AT103" s="613"/>
      <c r="AU103" s="613"/>
      <c r="AV103" s="613"/>
      <c r="AW103" s="613"/>
      <c r="AX103" s="613"/>
      <c r="AY103" s="367" t="str">
        <f>IF(AND(P100&lt;&gt;"", AR102="",D417&lt;&gt;""),1, "")</f>
        <v/>
      </c>
      <c r="BA103" s="433"/>
      <c r="BB103" s="433"/>
      <c r="BC103" s="433"/>
      <c r="BD103" s="433"/>
      <c r="BE103" s="433"/>
      <c r="BF103" s="433"/>
      <c r="BG103" s="433"/>
      <c r="BH103" s="371" t="str">
        <f>IF(AND(P100&lt;&gt;"", BA102="",D417&lt;&gt;""),1, "")</f>
        <v/>
      </c>
      <c r="BI103" s="107"/>
      <c r="BJ103" s="272"/>
      <c r="BK103" s="272"/>
      <c r="BL103" s="272"/>
      <c r="BM103" s="272"/>
      <c r="BN103" s="272"/>
      <c r="BO103" s="272"/>
      <c r="BP103" s="272"/>
      <c r="BQ103" s="140"/>
      <c r="BV103" s="269"/>
      <c r="BW103" s="269"/>
      <c r="BX103" s="269"/>
      <c r="BY103" s="269"/>
      <c r="BZ103" s="269"/>
      <c r="CA103" s="269"/>
      <c r="CB103" s="269"/>
      <c r="CC103" s="269"/>
      <c r="CD103" s="269"/>
      <c r="CE103" s="269"/>
    </row>
    <row r="104" spans="1:84" s="110" customFormat="1" ht="41.25" customHeight="1" x14ac:dyDescent="0.25">
      <c r="A104" s="265"/>
      <c r="B104" s="566" t="s">
        <v>33</v>
      </c>
      <c r="C104" s="567"/>
      <c r="D104" s="568"/>
      <c r="E104" s="120" t="str">
        <f>IF(AND($G$44&gt;=1,$G$44&lt;&gt;"Please Select"),"Cohort 
#1:","")</f>
        <v>Cohort 
#1:</v>
      </c>
      <c r="F104" s="120" t="str">
        <f>IF(AND($G$44&gt;=2,$G$44&lt;&gt;"Please Select"),"Cohort 
#2:", "")</f>
        <v/>
      </c>
      <c r="G104" s="120" t="str">
        <f>IF(AND($G$44&gt;=3,$G$44&lt;&gt;"Please Select"), "Cohort 
#3:","")</f>
        <v/>
      </c>
      <c r="H104" s="120" t="str">
        <f>IF(AND($G$44&gt;=4,$G$44&lt;&gt;"Please Select"), "Cohort 
#4:","")</f>
        <v/>
      </c>
      <c r="I104" s="120" t="str">
        <f>IF(AND($G$44&gt;=5,$G$44&lt;&gt;"Please Select"), "Cohort 
#5:","")</f>
        <v/>
      </c>
      <c r="J104" s="120" t="str">
        <f>IF(AND($G$44&gt;=6,$G$44&lt;&gt;"Please Select"), "Cohort 
#6:","")</f>
        <v/>
      </c>
      <c r="K104" s="120" t="str">
        <f>IF(AND($G$44&gt;=7,$G$44&lt;&gt;"Please Select"), "Cohort 
#7:","")</f>
        <v/>
      </c>
      <c r="L104" s="120" t="str">
        <f>IF(AND($G$44&gt;=8, $G$44&lt;&gt;"Please Select"),"Cohort 
#8:","")</f>
        <v/>
      </c>
      <c r="M104" s="120" t="str">
        <f>IF(AND($G$44&gt;=9, $G$44&lt;&gt;"Please Select"),"Cohort 
#9:","")</f>
        <v/>
      </c>
      <c r="N104" s="120" t="s">
        <v>18</v>
      </c>
      <c r="P104" s="290"/>
      <c r="Q104" s="428"/>
      <c r="R104" s="428"/>
      <c r="S104" s="428"/>
      <c r="T104" s="428"/>
      <c r="U104" s="428"/>
      <c r="V104" s="428"/>
      <c r="W104" s="428"/>
      <c r="X104" s="141"/>
      <c r="Z104" s="632" t="str">
        <f>IF(Z102="Yes","Do your graduates utilize the (placement office) service?","")</f>
        <v/>
      </c>
      <c r="AA104" s="632"/>
      <c r="AB104" s="632"/>
      <c r="AC104" s="632"/>
      <c r="AD104" s="632"/>
      <c r="AE104" s="632"/>
      <c r="AF104" s="632"/>
      <c r="AG104" s="139"/>
      <c r="AH104" s="114"/>
      <c r="AI104" s="433"/>
      <c r="AJ104" s="433"/>
      <c r="AK104" s="433"/>
      <c r="AL104" s="433"/>
      <c r="AM104" s="433"/>
      <c r="AN104" s="433"/>
      <c r="AO104" s="433"/>
      <c r="AP104" s="139"/>
      <c r="AR104" s="613"/>
      <c r="AS104" s="613"/>
      <c r="AT104" s="613"/>
      <c r="AU104" s="613"/>
      <c r="AV104" s="613"/>
      <c r="AW104" s="613"/>
      <c r="AX104" s="613"/>
      <c r="AY104" s="138"/>
      <c r="BA104" s="433"/>
      <c r="BB104" s="433"/>
      <c r="BC104" s="433"/>
      <c r="BD104" s="433"/>
      <c r="BE104" s="433"/>
      <c r="BF104" s="433"/>
      <c r="BG104" s="433"/>
      <c r="BH104" s="136"/>
      <c r="BI104" s="16"/>
      <c r="BJ104" s="271"/>
      <c r="BK104" s="271"/>
      <c r="BL104" s="271"/>
      <c r="BM104" s="271"/>
      <c r="BN104" s="271"/>
      <c r="BO104" s="271"/>
      <c r="BP104" s="271"/>
      <c r="BQ104" s="138"/>
      <c r="BR104" s="138"/>
      <c r="BS104" s="138"/>
      <c r="BV104" s="274"/>
      <c r="BW104" s="274"/>
      <c r="BX104" s="274"/>
      <c r="BY104" s="274"/>
      <c r="BZ104" s="274"/>
      <c r="CA104" s="274"/>
      <c r="CB104" s="274"/>
      <c r="CC104" s="274"/>
      <c r="CD104" s="274"/>
      <c r="CE104" s="274"/>
    </row>
    <row r="105" spans="1:84" s="110" customFormat="1" ht="18" customHeight="1" x14ac:dyDescent="0.25">
      <c r="A105" s="265"/>
      <c r="B105" s="558" t="s">
        <v>20</v>
      </c>
      <c r="C105" s="559"/>
      <c r="D105" s="560"/>
      <c r="E105" s="121">
        <f>IF(ISBLANK(E50),"",E50)</f>
        <v>42970</v>
      </c>
      <c r="F105" s="121" t="str">
        <f t="shared" ref="F105:M105" si="11">IF(ISBLANK(F50),"",F50)</f>
        <v/>
      </c>
      <c r="G105" s="121" t="str">
        <f t="shared" si="11"/>
        <v/>
      </c>
      <c r="H105" s="121" t="str">
        <f t="shared" si="11"/>
        <v/>
      </c>
      <c r="I105" s="121" t="str">
        <f t="shared" si="11"/>
        <v/>
      </c>
      <c r="J105" s="121" t="str">
        <f t="shared" si="11"/>
        <v/>
      </c>
      <c r="K105" s="121" t="str">
        <f t="shared" si="11"/>
        <v/>
      </c>
      <c r="L105" s="121" t="str">
        <f t="shared" si="11"/>
        <v/>
      </c>
      <c r="M105" s="121" t="str">
        <f t="shared" si="11"/>
        <v/>
      </c>
      <c r="N105" s="122"/>
      <c r="P105" s="260"/>
      <c r="Q105" s="428"/>
      <c r="R105" s="428"/>
      <c r="S105" s="428"/>
      <c r="T105" s="428"/>
      <c r="U105" s="428"/>
      <c r="V105" s="428"/>
      <c r="W105" s="428"/>
      <c r="X105" s="16"/>
      <c r="Z105" s="429" t="str">
        <f>IF(Z102="Yes","Please Select","")</f>
        <v/>
      </c>
      <c r="AA105" s="429"/>
      <c r="AB105" s="270"/>
      <c r="AC105" s="270"/>
      <c r="AD105" s="270"/>
      <c r="AE105" s="270"/>
      <c r="AF105" s="369" t="str">
        <f>IF(AND(P100&lt;&gt;"", Z105="Please Select",D417&lt;&gt;""),1, "")</f>
        <v/>
      </c>
      <c r="AG105" s="361" t="str">
        <f>IF(AF105=1,"&lt;===", "")</f>
        <v/>
      </c>
      <c r="AI105" s="433"/>
      <c r="AJ105" s="433"/>
      <c r="AK105" s="433"/>
      <c r="AL105" s="433"/>
      <c r="AM105" s="433"/>
      <c r="AN105" s="433"/>
      <c r="AO105" s="433"/>
      <c r="AP105" s="139"/>
      <c r="AR105" s="613"/>
      <c r="AS105" s="613"/>
      <c r="AT105" s="613"/>
      <c r="AU105" s="613"/>
      <c r="AV105" s="613"/>
      <c r="AW105" s="613"/>
      <c r="AX105" s="613"/>
      <c r="AY105" s="138"/>
      <c r="BA105" s="433"/>
      <c r="BB105" s="433"/>
      <c r="BC105" s="433"/>
      <c r="BD105" s="433"/>
      <c r="BE105" s="433"/>
      <c r="BF105" s="433"/>
      <c r="BG105" s="433"/>
      <c r="BH105" s="139"/>
      <c r="BI105" s="16"/>
      <c r="BJ105" s="271"/>
      <c r="BK105" s="271"/>
      <c r="BL105" s="271"/>
      <c r="BM105" s="271"/>
      <c r="BN105" s="271"/>
      <c r="BO105" s="271"/>
      <c r="BP105" s="271"/>
      <c r="BQ105" s="138"/>
      <c r="BR105" s="138"/>
      <c r="BS105" s="138"/>
      <c r="BV105" s="274"/>
      <c r="BW105" s="274"/>
      <c r="BX105" s="274"/>
      <c r="BY105" s="274"/>
      <c r="BZ105" s="274"/>
      <c r="CA105" s="274"/>
      <c r="CB105" s="274"/>
      <c r="CC105" s="274"/>
      <c r="CD105" s="274"/>
      <c r="CE105" s="274"/>
    </row>
    <row r="106" spans="1:84" s="110" customFormat="1" ht="18" customHeight="1" x14ac:dyDescent="0.25">
      <c r="A106" s="265"/>
      <c r="B106" s="507" t="s">
        <v>14</v>
      </c>
      <c r="C106" s="508"/>
      <c r="D106" s="32"/>
      <c r="E106" s="183">
        <f>IF(ISBLANK(E51),"",E51)</f>
        <v>43448</v>
      </c>
      <c r="F106" s="183" t="str">
        <f t="shared" ref="F106:M106" si="12">IF(ISBLANK(F51),"",F51)</f>
        <v/>
      </c>
      <c r="G106" s="183" t="str">
        <f t="shared" si="12"/>
        <v/>
      </c>
      <c r="H106" s="183" t="str">
        <f t="shared" si="12"/>
        <v/>
      </c>
      <c r="I106" s="183" t="str">
        <f t="shared" si="12"/>
        <v/>
      </c>
      <c r="J106" s="183" t="str">
        <f t="shared" si="12"/>
        <v/>
      </c>
      <c r="K106" s="183" t="str">
        <f t="shared" si="12"/>
        <v/>
      </c>
      <c r="L106" s="183" t="str">
        <f t="shared" si="12"/>
        <v/>
      </c>
      <c r="M106" s="183" t="str">
        <f t="shared" si="12"/>
        <v/>
      </c>
      <c r="N106" s="184"/>
      <c r="P106" s="260"/>
      <c r="Q106" s="428"/>
      <c r="R106" s="428"/>
      <c r="S106" s="428"/>
      <c r="T106" s="428"/>
      <c r="U106" s="428"/>
      <c r="V106" s="428"/>
      <c r="W106" s="428"/>
      <c r="X106" s="16"/>
      <c r="Z106" s="631" t="str">
        <f>IF(Z102="Yes","Describe:","")</f>
        <v/>
      </c>
      <c r="AA106" s="631"/>
      <c r="AI106" s="433"/>
      <c r="AJ106" s="433"/>
      <c r="AK106" s="433"/>
      <c r="AL106" s="433"/>
      <c r="AM106" s="433"/>
      <c r="AN106" s="433"/>
      <c r="AO106" s="433"/>
      <c r="AR106" s="613"/>
      <c r="AS106" s="613"/>
      <c r="AT106" s="613"/>
      <c r="AU106" s="613"/>
      <c r="AV106" s="613"/>
      <c r="AW106" s="613"/>
      <c r="AX106" s="613"/>
      <c r="BA106" s="433"/>
      <c r="BB106" s="433"/>
      <c r="BC106" s="433"/>
      <c r="BD106" s="433"/>
      <c r="BE106" s="433"/>
      <c r="BF106" s="433"/>
      <c r="BG106" s="433"/>
      <c r="BH106" s="139"/>
      <c r="BI106" s="16"/>
      <c r="BJ106" s="271"/>
      <c r="BK106" s="271"/>
      <c r="BL106" s="271"/>
      <c r="BM106" s="271"/>
      <c r="BN106" s="271"/>
      <c r="BO106" s="271"/>
      <c r="BP106" s="271"/>
      <c r="BQ106" s="138"/>
      <c r="BR106" s="138"/>
      <c r="BS106" s="138"/>
      <c r="BV106" s="274"/>
      <c r="BW106" s="274"/>
      <c r="BX106" s="274"/>
      <c r="BY106" s="274"/>
      <c r="BZ106" s="274"/>
      <c r="CA106" s="274"/>
      <c r="CB106" s="274"/>
      <c r="CC106" s="274"/>
      <c r="CD106" s="274"/>
      <c r="CE106" s="274"/>
    </row>
    <row r="107" spans="1:84" s="110" customFormat="1" ht="55.5" customHeight="1" x14ac:dyDescent="0.25">
      <c r="A107" s="339"/>
      <c r="B107" s="424" t="s">
        <v>57</v>
      </c>
      <c r="C107" s="425"/>
      <c r="D107" s="425"/>
      <c r="E107" s="187">
        <f t="shared" ref="E107:N107" si="13">IF(ISBLANK(E64),"",E64)</f>
        <v>1</v>
      </c>
      <c r="F107" s="187" t="str">
        <f t="shared" si="13"/>
        <v/>
      </c>
      <c r="G107" s="187" t="str">
        <f t="shared" si="13"/>
        <v/>
      </c>
      <c r="H107" s="187" t="str">
        <f t="shared" si="13"/>
        <v/>
      </c>
      <c r="I107" s="187" t="str">
        <f t="shared" si="13"/>
        <v/>
      </c>
      <c r="J107" s="187" t="str">
        <f t="shared" si="13"/>
        <v/>
      </c>
      <c r="K107" s="187" t="str">
        <f t="shared" si="13"/>
        <v/>
      </c>
      <c r="L107" s="187" t="str">
        <f t="shared" si="13"/>
        <v/>
      </c>
      <c r="M107" s="187" t="str">
        <f t="shared" si="13"/>
        <v/>
      </c>
      <c r="N107" s="206">
        <f t="shared" si="13"/>
        <v>1</v>
      </c>
      <c r="P107" s="260"/>
      <c r="Q107" s="428"/>
      <c r="R107" s="428"/>
      <c r="S107" s="428"/>
      <c r="T107" s="428"/>
      <c r="U107" s="428"/>
      <c r="V107" s="428"/>
      <c r="W107" s="428"/>
      <c r="X107" s="16"/>
      <c r="Z107" s="433"/>
      <c r="AA107" s="433"/>
      <c r="AB107" s="433"/>
      <c r="AC107" s="433"/>
      <c r="AD107" s="433"/>
      <c r="AE107" s="433"/>
      <c r="AF107" s="433"/>
      <c r="AG107" s="356" t="str">
        <f>IF(AG108=1,"&lt;===", "")</f>
        <v/>
      </c>
      <c r="AI107" s="433"/>
      <c r="AJ107" s="433"/>
      <c r="AK107" s="433"/>
      <c r="AL107" s="433"/>
      <c r="AM107" s="433"/>
      <c r="AN107" s="433"/>
      <c r="AO107" s="433"/>
      <c r="AR107" s="613"/>
      <c r="AS107" s="613"/>
      <c r="AT107" s="613"/>
      <c r="AU107" s="613"/>
      <c r="AV107" s="613"/>
      <c r="AW107" s="613"/>
      <c r="AX107" s="613"/>
      <c r="BA107" s="433"/>
      <c r="BB107" s="433"/>
      <c r="BC107" s="433"/>
      <c r="BD107" s="433"/>
      <c r="BE107" s="433"/>
      <c r="BF107" s="433"/>
      <c r="BG107" s="433"/>
      <c r="BH107" s="139"/>
      <c r="BI107" s="16"/>
      <c r="BJ107" s="271"/>
      <c r="BK107" s="271"/>
      <c r="BL107" s="271"/>
      <c r="BM107" s="271"/>
      <c r="BN107" s="271"/>
      <c r="BO107" s="271"/>
      <c r="BP107" s="271"/>
      <c r="BQ107" s="138"/>
      <c r="BR107" s="138"/>
      <c r="BS107" s="138"/>
      <c r="BV107" s="274"/>
      <c r="BW107" s="274"/>
      <c r="BX107" s="274"/>
      <c r="BY107" s="274"/>
      <c r="BZ107" s="274"/>
      <c r="CA107" s="274"/>
      <c r="CB107" s="274"/>
      <c r="CC107" s="274"/>
      <c r="CD107" s="274"/>
      <c r="CE107" s="274"/>
    </row>
    <row r="108" spans="1:84" s="110" customFormat="1" ht="23.25" customHeight="1" x14ac:dyDescent="0.25">
      <c r="A108" s="265"/>
      <c r="B108" s="111"/>
      <c r="C108" s="217" t="s">
        <v>42</v>
      </c>
      <c r="D108" s="186"/>
      <c r="E108" s="223">
        <v>1</v>
      </c>
      <c r="F108" s="223"/>
      <c r="G108" s="223"/>
      <c r="H108" s="223"/>
      <c r="I108" s="223"/>
      <c r="J108" s="223"/>
      <c r="K108" s="223"/>
      <c r="L108" s="223"/>
      <c r="M108" s="223"/>
      <c r="N108" s="226">
        <f>IF(COUNT(E108:M108),SUM(E108:M108),"")</f>
        <v>1</v>
      </c>
      <c r="O108" s="277" t="str">
        <f>IF(P108=1, "&lt;===", "")</f>
        <v/>
      </c>
      <c r="P108" s="364" t="str">
        <f>IF(OR(AND(E107&lt;&gt;"",E108="",D417&lt;&gt;""),AND(F107&lt;&gt;"",F108="",D417&lt;&gt;""),AND(G107&lt;&gt;"",G108="",D417&lt;&gt;""),AND(H107&lt;&gt;"",H108="",D417&lt;&gt;""),AND(I107&lt;&gt;"",I108="",D417&lt;&gt;""),AND(J107&lt;&gt;"",J108="",D417&lt;&gt;""),AND(K107&lt;&gt;"",K108="",D417&lt;&gt;""),AND(L107&lt;&gt;"",L108="",D417&lt;&gt;""),AND(M107&lt;&gt;"",M108="",D417&lt;&gt;"")), 1, "")</f>
        <v/>
      </c>
      <c r="Q108" s="428"/>
      <c r="R108" s="428"/>
      <c r="S108" s="428"/>
      <c r="T108" s="428"/>
      <c r="U108" s="428"/>
      <c r="V108" s="428"/>
      <c r="W108" s="428"/>
      <c r="X108" s="136"/>
      <c r="Y108" s="608"/>
      <c r="Z108" s="433"/>
      <c r="AA108" s="433"/>
      <c r="AB108" s="433"/>
      <c r="AC108" s="433"/>
      <c r="AD108" s="433"/>
      <c r="AE108" s="433"/>
      <c r="AF108" s="433"/>
      <c r="AG108" s="371" t="str">
        <f>IF(AND(Z102="Yes", Z107="",D417&lt;&gt;""),1, "")</f>
        <v/>
      </c>
      <c r="AH108" s="608"/>
      <c r="AI108" s="433"/>
      <c r="AJ108" s="433"/>
      <c r="AK108" s="433"/>
      <c r="AL108" s="433"/>
      <c r="AM108" s="433"/>
      <c r="AN108" s="433"/>
      <c r="AO108" s="433"/>
      <c r="AP108" s="136"/>
      <c r="AQ108" s="608"/>
      <c r="AR108" s="613"/>
      <c r="AS108" s="613"/>
      <c r="AT108" s="613"/>
      <c r="AU108" s="613"/>
      <c r="AV108" s="613"/>
      <c r="AW108" s="613"/>
      <c r="AX108" s="613"/>
      <c r="AY108" s="141"/>
      <c r="BA108" s="433"/>
      <c r="BB108" s="433"/>
      <c r="BC108" s="433"/>
      <c r="BD108" s="433"/>
      <c r="BE108" s="433"/>
      <c r="BF108" s="433"/>
      <c r="BG108" s="433"/>
      <c r="BH108" s="139"/>
      <c r="BI108" s="16"/>
      <c r="BJ108" s="271"/>
      <c r="BK108" s="271"/>
      <c r="BL108" s="271"/>
      <c r="BM108" s="271"/>
      <c r="BN108" s="271"/>
      <c r="BO108" s="271"/>
      <c r="BP108" s="271"/>
      <c r="BQ108" s="138"/>
      <c r="BR108" s="138"/>
      <c r="BS108" s="138"/>
      <c r="BV108" s="274"/>
      <c r="BW108" s="274"/>
      <c r="BX108" s="274"/>
      <c r="BY108" s="274"/>
      <c r="BZ108" s="274"/>
      <c r="CA108" s="274"/>
      <c r="CB108" s="274"/>
      <c r="CC108" s="274"/>
      <c r="CD108" s="274"/>
      <c r="CE108" s="274"/>
    </row>
    <row r="109" spans="1:84" s="110" customFormat="1" ht="35.25" customHeight="1" x14ac:dyDescent="0.25">
      <c r="A109" s="265"/>
      <c r="B109" s="188"/>
      <c r="C109" s="561" t="s">
        <v>111</v>
      </c>
      <c r="D109" s="562"/>
      <c r="E109" s="227">
        <v>0</v>
      </c>
      <c r="F109" s="227"/>
      <c r="G109" s="227"/>
      <c r="H109" s="227"/>
      <c r="I109" s="227"/>
      <c r="J109" s="227"/>
      <c r="K109" s="227"/>
      <c r="L109" s="227"/>
      <c r="M109" s="227"/>
      <c r="N109" s="228">
        <f>IF(COUNT(E109:M109),SUM(E109:M109),"")</f>
        <v>0</v>
      </c>
      <c r="O109" s="277" t="str">
        <f>IF(P109=1, "&lt;===", "")</f>
        <v/>
      </c>
      <c r="P109" s="364" t="str">
        <f>IF(OR(AND(E107&lt;&gt;"",E109="",D417&lt;&gt;""),AND(F107&lt;&gt;"",F109="",D417&lt;&gt;""),AND(G107&lt;&gt;"",G109="",D417&lt;&gt;""),AND(H107&lt;&gt;"",H109="",D417&lt;&gt;""),AND(I107&lt;&gt;"",I109="",D417&lt;&gt;""),AND(J107&lt;&gt;"",J109="",D417&lt;&gt;""),AND(K107&lt;&gt;"",K109="",D417&lt;&gt;""),AND(L107&lt;&gt;"",L109="",D417&lt;&gt;""),AND(M107&lt;&gt;"",M109="",D417&lt;&gt;"")), 1, "")</f>
        <v/>
      </c>
      <c r="Q109" s="428"/>
      <c r="R109" s="428"/>
      <c r="S109" s="428"/>
      <c r="T109" s="428"/>
      <c r="U109" s="428"/>
      <c r="V109" s="428"/>
      <c r="W109" s="428"/>
      <c r="X109" s="136"/>
      <c r="Y109" s="608"/>
      <c r="Z109" s="433"/>
      <c r="AA109" s="433"/>
      <c r="AB109" s="433"/>
      <c r="AC109" s="433"/>
      <c r="AD109" s="433"/>
      <c r="AE109" s="433"/>
      <c r="AF109" s="433"/>
      <c r="AG109" s="136"/>
      <c r="AH109" s="608"/>
      <c r="AI109" s="433"/>
      <c r="AJ109" s="433"/>
      <c r="AK109" s="433"/>
      <c r="AL109" s="433"/>
      <c r="AM109" s="433"/>
      <c r="AN109" s="433"/>
      <c r="AO109" s="433"/>
      <c r="AP109" s="136"/>
      <c r="AQ109" s="608"/>
      <c r="AR109" s="613"/>
      <c r="AS109" s="613"/>
      <c r="AT109" s="613"/>
      <c r="AU109" s="613"/>
      <c r="AV109" s="613"/>
      <c r="AW109" s="613"/>
      <c r="AX109" s="613"/>
      <c r="AY109" s="141"/>
      <c r="BA109" s="433"/>
      <c r="BB109" s="433"/>
      <c r="BC109" s="433"/>
      <c r="BD109" s="433"/>
      <c r="BE109" s="433"/>
      <c r="BF109" s="433"/>
      <c r="BG109" s="433"/>
      <c r="BH109" s="139"/>
      <c r="BI109" s="16"/>
      <c r="BJ109" s="271"/>
      <c r="BK109" s="271"/>
      <c r="BL109" s="271"/>
      <c r="BM109" s="271"/>
      <c r="BN109" s="271"/>
      <c r="BO109" s="271"/>
      <c r="BP109" s="271"/>
      <c r="BQ109" s="138"/>
      <c r="BR109" s="138"/>
      <c r="BS109" s="138"/>
      <c r="BV109" s="274"/>
      <c r="BW109" s="274"/>
      <c r="BX109" s="274"/>
      <c r="BY109" s="274"/>
      <c r="BZ109" s="274"/>
      <c r="CA109" s="274"/>
      <c r="CB109" s="274"/>
      <c r="CC109" s="274"/>
      <c r="CD109" s="274"/>
      <c r="CE109" s="274"/>
    </row>
    <row r="110" spans="1:84" s="110" customFormat="1" ht="24.75" customHeight="1" x14ac:dyDescent="0.25">
      <c r="A110" s="265"/>
      <c r="B110" s="485" t="str">
        <f>"Total Positive Placement in " &amp;D4</f>
        <v>Total Positive Placement in 2018</v>
      </c>
      <c r="C110" s="486"/>
      <c r="D110" s="487"/>
      <c r="E110" s="92">
        <f>IF(OR(E107="",E108="",E109=""),"",SUM(E108+E109))</f>
        <v>1</v>
      </c>
      <c r="F110" s="92" t="str">
        <f t="shared" ref="F110:M110" si="14">IF(OR(F107="",F108="",F109=""),"",SUM(F108+F109))</f>
        <v/>
      </c>
      <c r="G110" s="92" t="str">
        <f t="shared" si="14"/>
        <v/>
      </c>
      <c r="H110" s="92" t="str">
        <f t="shared" si="14"/>
        <v/>
      </c>
      <c r="I110" s="92" t="str">
        <f t="shared" si="14"/>
        <v/>
      </c>
      <c r="J110" s="92" t="str">
        <f t="shared" si="14"/>
        <v/>
      </c>
      <c r="K110" s="92" t="str">
        <f t="shared" si="14"/>
        <v/>
      </c>
      <c r="L110" s="92" t="str">
        <f t="shared" si="14"/>
        <v/>
      </c>
      <c r="M110" s="92" t="str">
        <f t="shared" si="14"/>
        <v/>
      </c>
      <c r="N110" s="87">
        <f>IF(COUNT(N108:N109),SUM(N108,N109),"")</f>
        <v>1</v>
      </c>
      <c r="P110" s="278"/>
      <c r="Q110" s="428"/>
      <c r="R110" s="428"/>
      <c r="S110" s="428"/>
      <c r="T110" s="428"/>
      <c r="U110" s="428"/>
      <c r="V110" s="428"/>
      <c r="W110" s="428"/>
      <c r="X110" s="16"/>
      <c r="Z110" s="433"/>
      <c r="AA110" s="433"/>
      <c r="AB110" s="433"/>
      <c r="AC110" s="433"/>
      <c r="AD110" s="433"/>
      <c r="AE110" s="433"/>
      <c r="AF110" s="433"/>
      <c r="AG110" s="6"/>
      <c r="AI110" s="433"/>
      <c r="AJ110" s="433"/>
      <c r="AK110" s="433"/>
      <c r="AL110" s="433"/>
      <c r="AM110" s="433"/>
      <c r="AN110" s="433"/>
      <c r="AO110" s="433"/>
      <c r="AR110" s="613"/>
      <c r="AS110" s="613"/>
      <c r="AT110" s="613"/>
      <c r="AU110" s="613"/>
      <c r="AV110" s="613"/>
      <c r="AW110" s="613"/>
      <c r="AX110" s="613"/>
      <c r="BA110" s="433"/>
      <c r="BB110" s="433"/>
      <c r="BC110" s="433"/>
      <c r="BD110" s="433"/>
      <c r="BE110" s="433"/>
      <c r="BF110" s="433"/>
      <c r="BG110" s="433"/>
      <c r="BH110" s="139"/>
      <c r="BI110" s="16"/>
      <c r="BJ110" s="271"/>
      <c r="BK110" s="271"/>
      <c r="BL110" s="271"/>
      <c r="BM110" s="271"/>
      <c r="BN110" s="271"/>
      <c r="BO110" s="271"/>
      <c r="BP110" s="271"/>
      <c r="BQ110" s="138"/>
      <c r="BR110" s="138"/>
      <c r="BS110" s="138"/>
    </row>
    <row r="111" spans="1:84" s="110" customFormat="1" ht="45.75" customHeight="1" x14ac:dyDescent="0.25">
      <c r="A111" s="265"/>
      <c r="B111" s="501" t="s">
        <v>32</v>
      </c>
      <c r="C111" s="502"/>
      <c r="D111" s="503"/>
      <c r="E111" s="248">
        <f>IF(E107="","",IFERROR(E110/E107,0))</f>
        <v>1</v>
      </c>
      <c r="F111" s="248" t="str">
        <f>IF(F107="","",IFERROR(F110/F107,0))</f>
        <v/>
      </c>
      <c r="G111" s="248" t="str">
        <f t="shared" ref="G111:M111" si="15">IF(G107="","",IFERROR(G110/G107,0))</f>
        <v/>
      </c>
      <c r="H111" s="248" t="str">
        <f t="shared" si="15"/>
        <v/>
      </c>
      <c r="I111" s="248" t="str">
        <f t="shared" si="15"/>
        <v/>
      </c>
      <c r="J111" s="248" t="str">
        <f t="shared" si="15"/>
        <v/>
      </c>
      <c r="K111" s="248" t="str">
        <f t="shared" si="15"/>
        <v/>
      </c>
      <c r="L111" s="248" t="str">
        <f t="shared" si="15"/>
        <v/>
      </c>
      <c r="M111" s="248" t="str">
        <f t="shared" si="15"/>
        <v/>
      </c>
      <c r="N111" s="249">
        <f>IF(AND(N52&lt;&gt;"",N108&lt;&gt;"",N109&lt;&gt;""),N110/N107,0)</f>
        <v>1</v>
      </c>
      <c r="O111" s="301" t="str">
        <f>IF(P110=1, "&lt;===", "")</f>
        <v/>
      </c>
      <c r="P111" s="292"/>
      <c r="Q111" s="473" t="str">
        <f>IF(P100&lt;&gt;"","How do you track graduate job placement?","")</f>
        <v/>
      </c>
      <c r="R111" s="473"/>
      <c r="S111" s="473"/>
      <c r="T111" s="473"/>
      <c r="U111" s="473"/>
      <c r="V111" s="473"/>
      <c r="W111" s="473"/>
      <c r="X111" s="16"/>
      <c r="Z111" s="433"/>
      <c r="AA111" s="433"/>
      <c r="AB111" s="433"/>
      <c r="AC111" s="433"/>
      <c r="AD111" s="433"/>
      <c r="AE111" s="433"/>
      <c r="AF111" s="433"/>
      <c r="AG111" s="6"/>
      <c r="AI111" s="433"/>
      <c r="AJ111" s="433"/>
      <c r="AK111" s="433"/>
      <c r="AL111" s="433"/>
      <c r="AM111" s="433"/>
      <c r="AN111" s="433"/>
      <c r="AO111" s="433"/>
      <c r="AR111" s="613"/>
      <c r="AS111" s="613"/>
      <c r="AT111" s="613"/>
      <c r="AU111" s="613"/>
      <c r="AV111" s="613"/>
      <c r="AW111" s="613"/>
      <c r="AX111" s="613"/>
      <c r="BA111" s="433"/>
      <c r="BB111" s="433"/>
      <c r="BC111" s="433"/>
      <c r="BD111" s="433"/>
      <c r="BE111" s="433"/>
      <c r="BF111" s="433"/>
      <c r="BG111" s="433"/>
      <c r="BH111" s="139"/>
      <c r="BI111" s="16"/>
      <c r="BJ111" s="271"/>
      <c r="BK111" s="271"/>
      <c r="BL111" s="271"/>
      <c r="BM111" s="271"/>
      <c r="BN111" s="271"/>
      <c r="BO111" s="271"/>
      <c r="BP111" s="271"/>
      <c r="BQ111" s="138"/>
      <c r="BR111" s="138"/>
      <c r="BS111" s="138"/>
      <c r="BU111" s="113"/>
      <c r="BV111" s="596"/>
      <c r="BW111" s="596"/>
      <c r="BX111" s="596"/>
      <c r="BY111" s="596"/>
      <c r="BZ111" s="596"/>
      <c r="CA111" s="596"/>
      <c r="CB111" s="596"/>
      <c r="CC111" s="596"/>
      <c r="CD111" s="596"/>
      <c r="CE111" s="596"/>
    </row>
    <row r="112" spans="1:84" s="110" customFormat="1" ht="51.75" customHeight="1" x14ac:dyDescent="0.25">
      <c r="A112" s="265"/>
      <c r="B112" s="467" t="str">
        <f>IF(AND(N110&lt;&gt;"",N111&lt;0.7,N108&lt;&gt;"",N109&lt;&gt;"",B113=""),"The outcome threshold of 70% has not been met.  
Please complete the analysis and action plan questions to the right ==&gt;.",IF(AND(N111&gt;=0.7,N111&lt;=100%,N108&lt;&gt;"",N109&lt;&gt;"",B113=""),"The outcome threshold of 70% has been met.  
Please complete the next table below.",""))</f>
        <v>The outcome threshold of 70% has been met.  
Please complete the next table below.</v>
      </c>
      <c r="C112" s="468"/>
      <c r="D112" s="468"/>
      <c r="E112" s="468"/>
      <c r="F112" s="468"/>
      <c r="G112" s="468"/>
      <c r="H112" s="468"/>
      <c r="I112" s="468"/>
      <c r="J112" s="468"/>
      <c r="K112" s="468"/>
      <c r="L112" s="468"/>
      <c r="M112" s="468"/>
      <c r="N112" s="469"/>
      <c r="P112" s="260"/>
      <c r="Q112" s="428"/>
      <c r="R112" s="428"/>
      <c r="S112" s="428"/>
      <c r="T112" s="428"/>
      <c r="U112" s="428"/>
      <c r="V112" s="428"/>
      <c r="W112" s="428"/>
      <c r="X112" s="363" t="str">
        <f>IF(X113=1,"&lt;===", "")</f>
        <v/>
      </c>
      <c r="Y112" s="114"/>
      <c r="Z112" s="432" t="str">
        <f>IF(Z102="Yes","List all of the methods utilized by the program to assist in placing the graduates:","")</f>
        <v/>
      </c>
      <c r="AA112" s="432"/>
      <c r="AB112" s="432"/>
      <c r="AC112" s="432"/>
      <c r="AD112" s="432"/>
      <c r="AE112" s="432"/>
      <c r="AF112" s="432"/>
      <c r="AG112" s="136"/>
      <c r="AI112" s="433"/>
      <c r="AJ112" s="433"/>
      <c r="AK112" s="433"/>
      <c r="AL112" s="433"/>
      <c r="AM112" s="433"/>
      <c r="AN112" s="433"/>
      <c r="AO112" s="433"/>
      <c r="AP112" s="136"/>
      <c r="AR112" s="613"/>
      <c r="AS112" s="613"/>
      <c r="AT112" s="613"/>
      <c r="AU112" s="613"/>
      <c r="AV112" s="613"/>
      <c r="AW112" s="613"/>
      <c r="AX112" s="613"/>
      <c r="AY112" s="136"/>
      <c r="BA112" s="433"/>
      <c r="BB112" s="433"/>
      <c r="BC112" s="433"/>
      <c r="BD112" s="433"/>
      <c r="BE112" s="433"/>
      <c r="BF112" s="433"/>
      <c r="BG112" s="433"/>
      <c r="BH112" s="139"/>
      <c r="BI112" s="16"/>
      <c r="BJ112" s="271"/>
      <c r="BK112" s="271"/>
      <c r="BL112" s="271"/>
      <c r="BM112" s="271"/>
      <c r="BN112" s="271"/>
      <c r="BO112" s="271"/>
      <c r="BP112" s="271"/>
      <c r="BQ112" s="138"/>
      <c r="BR112" s="138"/>
      <c r="BS112" s="138"/>
      <c r="BV112" s="271"/>
      <c r="BW112" s="271"/>
      <c r="BX112" s="271"/>
      <c r="BY112" s="271"/>
      <c r="BZ112" s="271"/>
      <c r="CA112" s="271"/>
      <c r="CB112" s="271"/>
      <c r="CC112" s="271"/>
      <c r="CD112" s="271"/>
      <c r="CE112" s="271"/>
    </row>
    <row r="113" spans="1:83" s="110" customFormat="1" ht="52.5" customHeight="1" x14ac:dyDescent="0.25">
      <c r="A113" s="265"/>
      <c r="B113" s="509" t="str">
        <f>IF(OR(AND(E111&gt;100%,E110&lt;&gt;""),AND(F111&gt;100%,F110&lt;&gt;""),AND(G111&gt;100%,G110&lt;&gt;""),AND(H111&gt;100%,H110&lt;&gt;""),AND(I111&gt;100%,I110&lt;&gt;""),AND(J111&gt;100%,J110&lt;&gt;""),AND(K111&gt;100%,K110&lt;&gt;""),AND(L111&gt;100%,L110&lt;&gt;""),AND(M111&gt;100%,M110&lt;&gt;""),AND(N111&gt;100%,N110&lt;&gt;"")),"Error has occurred; The pass rate success percentage cannot be more than 100%",IF(OR(AND(E107&lt;&gt;"",E110&lt;&gt;"",E110&gt;E107),AND(F107&lt;&gt;"",F110&lt;&gt;"",F110&gt;F107),AND(G107&lt;&gt;"",G110&lt;&gt;"",G110&gt;G107),AND(H107&lt;&gt;"",H110&lt;&gt;"",H110&gt;H107),AND(I107&lt;&gt;"",I110&lt;&gt;"",I110&gt;I107),AND(J107&lt;&gt;"",J110&lt;&gt;"",J110&gt;J107),AND(K107&lt;&gt;"",K110&lt;&gt;"",K110&gt;K107),AND(L107&lt;&gt;"",L110&lt;&gt;"",L110&gt;L107),AND(M107&lt;&gt;"",M110&lt;&gt;"",M110&gt;M107)),"Error has occurred; The total positive placement number cannot be more than the total graduates reported",IF(OR(AND(E107&lt;&gt;"",E110="",E111=0),AND(F107&lt;&gt;"",F110="",F111=0),AND(G107&lt;&gt;"",G110="",G111=0),AND(H107&lt;&gt;"",H110="",H111=0),AND(I107&lt;&gt;"",I110="",I111=0),AND(J107&lt;&gt;"",J110="",J111=0),AND(K107&lt;&gt;"",K110="",K111=0),AND(L107&lt;&gt;"",L110="",L111=0),AND(M107&lt;&gt;"",M110="",M111=0)),"Please Note: An empty or blank cell is not the same a zero.","")))</f>
        <v/>
      </c>
      <c r="C113" s="509"/>
      <c r="D113" s="509"/>
      <c r="E113" s="509"/>
      <c r="F113" s="509"/>
      <c r="G113" s="509"/>
      <c r="H113" s="509"/>
      <c r="I113" s="509"/>
      <c r="J113" s="509"/>
      <c r="K113" s="509"/>
      <c r="L113" s="509"/>
      <c r="M113" s="509"/>
      <c r="N113" s="509"/>
      <c r="P113" s="260"/>
      <c r="Q113" s="428"/>
      <c r="R113" s="428"/>
      <c r="S113" s="428"/>
      <c r="T113" s="428"/>
      <c r="U113" s="428"/>
      <c r="V113" s="428"/>
      <c r="W113" s="428"/>
      <c r="X113" s="369" t="str">
        <f>IF(AND(P100&lt;&gt;"", Q112="",D417&lt;&gt;""),1, "")</f>
        <v/>
      </c>
      <c r="Z113" s="433"/>
      <c r="AA113" s="433"/>
      <c r="AB113" s="433"/>
      <c r="AC113" s="433"/>
      <c r="AD113" s="433"/>
      <c r="AE113" s="433"/>
      <c r="AF113" s="433"/>
      <c r="AG113" s="361" t="str">
        <f>IF(AG114=1,"&lt;===", "")</f>
        <v/>
      </c>
      <c r="AI113" s="433"/>
      <c r="AJ113" s="433"/>
      <c r="AK113" s="433"/>
      <c r="AL113" s="433"/>
      <c r="AM113" s="433"/>
      <c r="AN113" s="433"/>
      <c r="AO113" s="433"/>
      <c r="AP113" s="138"/>
      <c r="AR113" s="613"/>
      <c r="AS113" s="613"/>
      <c r="AT113" s="613"/>
      <c r="AU113" s="613"/>
      <c r="AV113" s="613"/>
      <c r="AW113" s="613"/>
      <c r="AX113" s="613"/>
      <c r="AY113" s="138"/>
      <c r="BA113" s="433"/>
      <c r="BB113" s="433"/>
      <c r="BC113" s="433"/>
      <c r="BD113" s="433"/>
      <c r="BE113" s="433"/>
      <c r="BF113" s="433"/>
      <c r="BG113" s="433"/>
      <c r="BH113" s="139"/>
      <c r="BI113" s="114"/>
      <c r="BJ113" s="271"/>
      <c r="BK113" s="271"/>
      <c r="BL113" s="271"/>
      <c r="BM113" s="271"/>
      <c r="BN113" s="271"/>
      <c r="BO113" s="271"/>
      <c r="BP113" s="271"/>
      <c r="BQ113" s="138"/>
      <c r="BR113" s="138"/>
      <c r="BS113" s="138"/>
      <c r="BV113" s="271"/>
      <c r="BW113" s="271"/>
      <c r="BX113" s="271"/>
      <c r="BY113" s="271"/>
      <c r="BZ113" s="271"/>
      <c r="CA113" s="271"/>
      <c r="CB113" s="271"/>
      <c r="CC113" s="271"/>
      <c r="CD113" s="271"/>
      <c r="CE113" s="271"/>
    </row>
    <row r="114" spans="1:83" s="110" customFormat="1" x14ac:dyDescent="0.25">
      <c r="A114" s="265"/>
      <c r="P114" s="260"/>
      <c r="Q114" s="428"/>
      <c r="R114" s="428"/>
      <c r="S114" s="428"/>
      <c r="T114" s="428"/>
      <c r="U114" s="428"/>
      <c r="V114" s="428"/>
      <c r="W114" s="428"/>
      <c r="X114" s="139"/>
      <c r="Z114" s="433"/>
      <c r="AA114" s="433"/>
      <c r="AB114" s="433"/>
      <c r="AC114" s="433"/>
      <c r="AD114" s="433"/>
      <c r="AE114" s="433"/>
      <c r="AF114" s="433"/>
      <c r="AG114" s="369" t="str">
        <f>IF(AND(Z102="Yes", Z113="",D417&lt;&gt;""),1, "")</f>
        <v/>
      </c>
      <c r="AI114" s="433"/>
      <c r="AJ114" s="433"/>
      <c r="AK114" s="433"/>
      <c r="AL114" s="433"/>
      <c r="AM114" s="433"/>
      <c r="AN114" s="433"/>
      <c r="AO114" s="433"/>
      <c r="AP114" s="138"/>
      <c r="AR114" s="613"/>
      <c r="AS114" s="613"/>
      <c r="AT114" s="613"/>
      <c r="AU114" s="613"/>
      <c r="AV114" s="613"/>
      <c r="AW114" s="613"/>
      <c r="AX114" s="613"/>
      <c r="AY114" s="138"/>
      <c r="BA114" s="433"/>
      <c r="BB114" s="433"/>
      <c r="BC114" s="433"/>
      <c r="BD114" s="433"/>
      <c r="BE114" s="433"/>
      <c r="BF114" s="433"/>
      <c r="BG114" s="433"/>
      <c r="BH114" s="139"/>
      <c r="BJ114" s="271"/>
      <c r="BK114" s="271"/>
      <c r="BL114" s="271"/>
      <c r="BM114" s="271"/>
      <c r="BN114" s="271"/>
      <c r="BO114" s="271"/>
      <c r="BP114" s="271"/>
      <c r="BQ114" s="138"/>
      <c r="BR114" s="138"/>
      <c r="BS114" s="138"/>
      <c r="BV114" s="271"/>
      <c r="BW114" s="271"/>
      <c r="BX114" s="271"/>
      <c r="BY114" s="271"/>
      <c r="BZ114" s="271"/>
      <c r="CA114" s="271"/>
      <c r="CB114" s="271"/>
      <c r="CC114" s="271"/>
      <c r="CD114" s="271"/>
      <c r="CE114" s="271"/>
    </row>
    <row r="115" spans="1:83" s="110" customFormat="1" ht="101.25" customHeight="1" x14ac:dyDescent="0.25">
      <c r="A115" s="265"/>
      <c r="B115" s="491" t="s">
        <v>159</v>
      </c>
      <c r="C115" s="492"/>
      <c r="D115" s="492"/>
      <c r="E115" s="492"/>
      <c r="F115" s="492"/>
      <c r="G115" s="492"/>
      <c r="H115" s="492"/>
      <c r="I115" s="492"/>
      <c r="J115" s="492"/>
      <c r="K115" s="492"/>
      <c r="L115" s="492"/>
      <c r="M115" s="492"/>
      <c r="N115" s="493"/>
      <c r="P115" s="291"/>
      <c r="Q115" s="428"/>
      <c r="R115" s="428"/>
      <c r="S115" s="428"/>
      <c r="T115" s="428"/>
      <c r="U115" s="428"/>
      <c r="V115" s="428"/>
      <c r="W115" s="428"/>
      <c r="X115" s="139"/>
      <c r="Z115" s="433"/>
      <c r="AA115" s="433"/>
      <c r="AB115" s="433"/>
      <c r="AC115" s="433"/>
      <c r="AD115" s="433"/>
      <c r="AE115" s="433"/>
      <c r="AF115" s="433"/>
      <c r="AG115" s="139"/>
      <c r="AI115" s="433"/>
      <c r="AJ115" s="433"/>
      <c r="AK115" s="433"/>
      <c r="AL115" s="433"/>
      <c r="AM115" s="433"/>
      <c r="AN115" s="433"/>
      <c r="AO115" s="433"/>
      <c r="AP115" s="138"/>
      <c r="AR115" s="613"/>
      <c r="AS115" s="613"/>
      <c r="AT115" s="613"/>
      <c r="AU115" s="613"/>
      <c r="AV115" s="613"/>
      <c r="AW115" s="613"/>
      <c r="AX115" s="613"/>
      <c r="AY115" s="138"/>
      <c r="BA115" s="433"/>
      <c r="BB115" s="433"/>
      <c r="BC115" s="433"/>
      <c r="BD115" s="433"/>
      <c r="BE115" s="433"/>
      <c r="BF115" s="433"/>
      <c r="BG115" s="433"/>
      <c r="BH115" s="139"/>
      <c r="BJ115" s="271"/>
      <c r="BK115" s="271"/>
      <c r="BL115" s="271"/>
      <c r="BM115" s="271"/>
      <c r="BN115" s="271"/>
      <c r="BO115" s="271"/>
      <c r="BP115" s="271"/>
      <c r="BQ115" s="138"/>
      <c r="BR115" s="138"/>
      <c r="BS115" s="138"/>
      <c r="BV115" s="271"/>
      <c r="BW115" s="271"/>
      <c r="BX115" s="271"/>
      <c r="BY115" s="271"/>
      <c r="BZ115" s="271"/>
      <c r="CA115" s="271"/>
      <c r="CB115" s="271"/>
      <c r="CC115" s="271"/>
      <c r="CD115" s="271"/>
      <c r="CE115" s="271"/>
    </row>
    <row r="116" spans="1:83" s="110" customFormat="1" x14ac:dyDescent="0.25">
      <c r="A116" s="265"/>
      <c r="B116" s="440"/>
      <c r="C116" s="440"/>
      <c r="P116" s="260"/>
      <c r="Q116" s="428"/>
      <c r="R116" s="428"/>
      <c r="S116" s="428"/>
      <c r="T116" s="428"/>
      <c r="U116" s="428"/>
      <c r="V116" s="428"/>
      <c r="W116" s="428"/>
      <c r="Z116" s="433"/>
      <c r="AA116" s="433"/>
      <c r="AB116" s="433"/>
      <c r="AC116" s="433"/>
      <c r="AD116" s="433"/>
      <c r="AE116" s="433"/>
      <c r="AF116" s="433"/>
      <c r="AI116" s="433"/>
      <c r="AJ116" s="433"/>
      <c r="AK116" s="433"/>
      <c r="AL116" s="433"/>
      <c r="AM116" s="433"/>
      <c r="AN116" s="433"/>
      <c r="AO116" s="433"/>
      <c r="AR116" s="613"/>
      <c r="AS116" s="613"/>
      <c r="AT116" s="613"/>
      <c r="AU116" s="613"/>
      <c r="AV116" s="613"/>
      <c r="AW116" s="613"/>
      <c r="AX116" s="613"/>
      <c r="BA116" s="433"/>
      <c r="BB116" s="433"/>
      <c r="BC116" s="433"/>
      <c r="BD116" s="433"/>
      <c r="BE116" s="433"/>
      <c r="BF116" s="433"/>
      <c r="BG116" s="433"/>
      <c r="BJ116" s="271"/>
      <c r="BK116" s="271"/>
      <c r="BL116" s="271"/>
      <c r="BM116" s="271"/>
      <c r="BN116" s="271"/>
      <c r="BO116" s="271"/>
      <c r="BP116" s="271"/>
    </row>
    <row r="117" spans="1:83" s="262" customFormat="1" x14ac:dyDescent="0.25">
      <c r="A117" s="265"/>
      <c r="P117" s="260"/>
    </row>
    <row r="118" spans="1:83" s="28" customFormat="1" x14ac:dyDescent="0.25">
      <c r="A118" s="265"/>
      <c r="P118" s="260"/>
    </row>
    <row r="119" spans="1:83" s="28" customFormat="1" x14ac:dyDescent="0.25">
      <c r="A119" s="265"/>
      <c r="B119" s="24"/>
      <c r="C119" s="25">
        <f>$D$14</f>
        <v>600045</v>
      </c>
      <c r="D119" s="408" t="str">
        <f>$D$16</f>
        <v>Youngstown State University</v>
      </c>
      <c r="E119" s="408"/>
      <c r="F119" s="408"/>
      <c r="G119" s="408"/>
      <c r="H119" s="408"/>
      <c r="I119" s="408"/>
      <c r="J119" s="408"/>
      <c r="K119" s="408"/>
      <c r="P119" s="441">
        <f>IF(P121&lt;&gt;"",$D$14,"")</f>
        <v>600045</v>
      </c>
      <c r="Q119" s="441"/>
      <c r="R119" s="442" t="str">
        <f>IF(P121&lt;&gt;"",$D$16,"")</f>
        <v>Youngstown State University</v>
      </c>
      <c r="S119" s="442"/>
      <c r="T119" s="442"/>
      <c r="U119" s="442"/>
      <c r="V119" s="442"/>
      <c r="W119" s="442"/>
      <c r="X119" s="442"/>
      <c r="Y119" s="442"/>
      <c r="Z119" s="442"/>
      <c r="AA119" s="442"/>
    </row>
    <row r="120" spans="1:83" s="28" customFormat="1" x14ac:dyDescent="0.25">
      <c r="A120" s="265"/>
      <c r="B120" s="440"/>
      <c r="C120" s="440"/>
      <c r="P120" s="260"/>
      <c r="Q120" s="26"/>
      <c r="R120" s="442" t="str">
        <f>IF(P121&lt;&gt;"","Graduate Surveys","")</f>
        <v>Graduate Surveys</v>
      </c>
      <c r="S120" s="442"/>
      <c r="T120" s="442"/>
      <c r="U120" s="442"/>
      <c r="V120" s="442"/>
      <c r="W120" s="26"/>
      <c r="X120" s="26"/>
      <c r="Y120" s="26"/>
      <c r="Z120" s="26"/>
    </row>
    <row r="121" spans="1:83" s="28" customFormat="1" ht="23.25" customHeight="1" x14ac:dyDescent="0.25">
      <c r="A121" s="265"/>
      <c r="B121" s="42" t="s">
        <v>19</v>
      </c>
      <c r="C121" s="43"/>
      <c r="D121" s="43"/>
      <c r="E121" s="43"/>
      <c r="F121" s="43"/>
      <c r="G121" s="43"/>
      <c r="H121" s="43"/>
      <c r="I121" s="43"/>
      <c r="J121" s="43"/>
      <c r="K121" s="43"/>
      <c r="L121" s="43"/>
      <c r="M121" s="43"/>
      <c r="N121" s="44"/>
      <c r="P121" s="293" t="s">
        <v>99</v>
      </c>
      <c r="Q121" s="26"/>
      <c r="R121" s="26"/>
      <c r="S121" s="26"/>
      <c r="T121" s="26"/>
      <c r="U121" s="26"/>
      <c r="V121" s="26"/>
      <c r="W121" s="26"/>
      <c r="X121" s="26"/>
      <c r="Y121" s="26"/>
      <c r="Z121" s="257" t="s">
        <v>100</v>
      </c>
    </row>
    <row r="122" spans="1:83" s="28" customFormat="1" ht="43.5" customHeight="1" x14ac:dyDescent="0.25">
      <c r="A122" s="265"/>
      <c r="B122" s="434" t="s">
        <v>54</v>
      </c>
      <c r="C122" s="435"/>
      <c r="D122" s="435"/>
      <c r="E122" s="435"/>
      <c r="F122" s="435"/>
      <c r="G122" s="435"/>
      <c r="H122" s="435"/>
      <c r="I122" s="435"/>
      <c r="J122" s="435"/>
      <c r="K122" s="435"/>
      <c r="L122" s="435"/>
      <c r="M122" s="435"/>
      <c r="N122" s="436"/>
      <c r="P122" s="629" t="s">
        <v>175</v>
      </c>
      <c r="Q122" s="629"/>
      <c r="R122" s="629"/>
      <c r="S122" s="629"/>
      <c r="T122" s="629"/>
      <c r="U122" s="629"/>
      <c r="V122" s="629"/>
      <c r="W122" s="629"/>
      <c r="X122" s="629"/>
      <c r="Y122" s="356" t="str">
        <f>IF(Y123=1,"&lt;===", "")</f>
        <v/>
      </c>
      <c r="Z122" s="630" t="s">
        <v>176</v>
      </c>
      <c r="AA122" s="630"/>
      <c r="AB122" s="630"/>
      <c r="AC122" s="630"/>
      <c r="AD122" s="630"/>
      <c r="AE122" s="630"/>
      <c r="AF122" s="630"/>
      <c r="AG122" s="630"/>
      <c r="AH122" s="630"/>
      <c r="AI122" s="356" t="str">
        <f>IF(AI123=1,"&lt;===", "")</f>
        <v/>
      </c>
    </row>
    <row r="123" spans="1:83" s="28" customFormat="1" ht="41.25" customHeight="1" x14ac:dyDescent="0.25">
      <c r="A123" s="265"/>
      <c r="B123" s="437"/>
      <c r="C123" s="438"/>
      <c r="D123" s="439"/>
      <c r="E123" s="45" t="str">
        <f>IF(AND($G$44&gt;=1,$G$44&lt;&gt;"Please Select"),"Cohort 
#1:","")</f>
        <v>Cohort 
#1:</v>
      </c>
      <c r="F123" s="45" t="str">
        <f>IF(AND($G$44&gt;=2,$G$44&lt;&gt;"Please Select"),"Cohort 
#2:", "")</f>
        <v/>
      </c>
      <c r="G123" s="45" t="str">
        <f>IF(AND($G$44&gt;=3, $G$44&lt;&gt;"Please Select"),"Cohort 
#3:","")</f>
        <v/>
      </c>
      <c r="H123" s="45" t="str">
        <f>IF(AND($G$44&gt;=4,$G$44&lt;&gt;"Please Select"), "Cohort 
#4:","")</f>
        <v/>
      </c>
      <c r="I123" s="45" t="str">
        <f>IF(AND($G$44&gt;=5,$G$44&lt;&gt;"Please Select"), "Cohort 
#5:","")</f>
        <v/>
      </c>
      <c r="J123" s="45" t="str">
        <f>IF(AND($G$44&gt;=6,$G$44&lt;&gt;"Please Select"), "Cohort 
#6:","")</f>
        <v/>
      </c>
      <c r="K123" s="45" t="str">
        <f>IF(AND($G$44&gt;=7, $G$44&lt;&gt;"Please Select"),"Cohort 
#7:","")</f>
        <v/>
      </c>
      <c r="L123" s="45" t="str">
        <f>IF(AND($G$44&gt;=8,$G$44&lt;&gt;"Please Select"), "Cohort 
#8:","")</f>
        <v/>
      </c>
      <c r="M123" s="45" t="str">
        <f>IF(AND($G$44&gt;=9,$G$44&lt;&gt;"Please Select"), "Cohort 
#9:","")</f>
        <v/>
      </c>
      <c r="N123" s="45" t="s">
        <v>18</v>
      </c>
      <c r="P123" s="629"/>
      <c r="Q123" s="629"/>
      <c r="R123" s="629"/>
      <c r="S123" s="629"/>
      <c r="T123" s="629"/>
      <c r="U123" s="629"/>
      <c r="V123" s="629"/>
      <c r="W123" s="629"/>
      <c r="X123" s="629"/>
      <c r="Y123" s="364" t="str">
        <f>IF(AND(N126&lt;&gt;"", P122="",D417&lt;&gt;""),1, "")</f>
        <v/>
      </c>
      <c r="Z123" s="630"/>
      <c r="AA123" s="630"/>
      <c r="AB123" s="630"/>
      <c r="AC123" s="630"/>
      <c r="AD123" s="630"/>
      <c r="AE123" s="630"/>
      <c r="AF123" s="630"/>
      <c r="AG123" s="630"/>
      <c r="AH123" s="630"/>
      <c r="AI123" s="364" t="str">
        <f>IF(AND(N126&lt;&gt;"", Z122="",D417&lt;&gt;""),1, "")</f>
        <v/>
      </c>
    </row>
    <row r="124" spans="1:83" s="28" customFormat="1" ht="18" customHeight="1" x14ac:dyDescent="0.25">
      <c r="A124" s="265"/>
      <c r="B124" s="443" t="s">
        <v>16</v>
      </c>
      <c r="C124" s="444"/>
      <c r="D124" s="445"/>
      <c r="E124" s="35">
        <f t="shared" ref="E124:M124" si="16">IF(ISBLANK(E50),"",E50)</f>
        <v>42970</v>
      </c>
      <c r="F124" s="35" t="str">
        <f t="shared" si="16"/>
        <v/>
      </c>
      <c r="G124" s="35" t="str">
        <f t="shared" si="16"/>
        <v/>
      </c>
      <c r="H124" s="35" t="str">
        <f t="shared" si="16"/>
        <v/>
      </c>
      <c r="I124" s="35" t="str">
        <f t="shared" si="16"/>
        <v/>
      </c>
      <c r="J124" s="35" t="str">
        <f t="shared" si="16"/>
        <v/>
      </c>
      <c r="K124" s="35" t="str">
        <f t="shared" si="16"/>
        <v/>
      </c>
      <c r="L124" s="35" t="str">
        <f t="shared" si="16"/>
        <v/>
      </c>
      <c r="M124" s="35" t="str">
        <f t="shared" si="16"/>
        <v/>
      </c>
      <c r="N124" s="33"/>
      <c r="P124" s="629"/>
      <c r="Q124" s="629"/>
      <c r="R124" s="629"/>
      <c r="S124" s="629"/>
      <c r="T124" s="629"/>
      <c r="U124" s="629"/>
      <c r="V124" s="629"/>
      <c r="W124" s="629"/>
      <c r="X124" s="629"/>
      <c r="Z124" s="630"/>
      <c r="AA124" s="630"/>
      <c r="AB124" s="630"/>
      <c r="AC124" s="630"/>
      <c r="AD124" s="630"/>
      <c r="AE124" s="630"/>
      <c r="AF124" s="630"/>
      <c r="AG124" s="630"/>
      <c r="AH124" s="630"/>
    </row>
    <row r="125" spans="1:83" s="28" customFormat="1" ht="18" customHeight="1" x14ac:dyDescent="0.25">
      <c r="A125" s="265"/>
      <c r="B125" s="528" t="s">
        <v>14</v>
      </c>
      <c r="C125" s="527"/>
      <c r="D125" s="95"/>
      <c r="E125" s="96">
        <f t="shared" ref="E125:M125" si="17">IF(ISBLANK(E51),"",E51)</f>
        <v>43448</v>
      </c>
      <c r="F125" s="96" t="str">
        <f t="shared" si="17"/>
        <v/>
      </c>
      <c r="G125" s="96" t="str">
        <f t="shared" si="17"/>
        <v/>
      </c>
      <c r="H125" s="96" t="str">
        <f t="shared" si="17"/>
        <v/>
      </c>
      <c r="I125" s="96" t="str">
        <f t="shared" si="17"/>
        <v/>
      </c>
      <c r="J125" s="96" t="str">
        <f t="shared" si="17"/>
        <v/>
      </c>
      <c r="K125" s="96" t="str">
        <f t="shared" si="17"/>
        <v/>
      </c>
      <c r="L125" s="96" t="str">
        <f t="shared" si="17"/>
        <v/>
      </c>
      <c r="M125" s="96" t="str">
        <f t="shared" si="17"/>
        <v/>
      </c>
      <c r="N125" s="97"/>
      <c r="P125" s="629"/>
      <c r="Q125" s="629"/>
      <c r="R125" s="629"/>
      <c r="S125" s="629"/>
      <c r="T125" s="629"/>
      <c r="U125" s="629"/>
      <c r="V125" s="629"/>
      <c r="W125" s="629"/>
      <c r="X125" s="629"/>
      <c r="Z125" s="630"/>
      <c r="AA125" s="630"/>
      <c r="AB125" s="630"/>
      <c r="AC125" s="630"/>
      <c r="AD125" s="630"/>
      <c r="AE125" s="630"/>
      <c r="AF125" s="630"/>
      <c r="AG125" s="630"/>
      <c r="AH125" s="630"/>
    </row>
    <row r="126" spans="1:83" s="28" customFormat="1" ht="42.75" customHeight="1" x14ac:dyDescent="0.25">
      <c r="A126" s="265"/>
      <c r="B126" s="584" t="s">
        <v>105</v>
      </c>
      <c r="C126" s="585"/>
      <c r="D126" s="585"/>
      <c r="E126" s="351">
        <f t="shared" ref="E126:N126" si="18">IF(ISBLANK(E64),"",E64)</f>
        <v>1</v>
      </c>
      <c r="F126" s="351" t="str">
        <f t="shared" si="18"/>
        <v/>
      </c>
      <c r="G126" s="351" t="str">
        <f t="shared" si="18"/>
        <v/>
      </c>
      <c r="H126" s="351" t="str">
        <f t="shared" si="18"/>
        <v/>
      </c>
      <c r="I126" s="351" t="str">
        <f t="shared" si="18"/>
        <v/>
      </c>
      <c r="J126" s="351" t="str">
        <f t="shared" si="18"/>
        <v/>
      </c>
      <c r="K126" s="351" t="str">
        <f t="shared" si="18"/>
        <v/>
      </c>
      <c r="L126" s="351" t="str">
        <f t="shared" si="18"/>
        <v/>
      </c>
      <c r="M126" s="351" t="str">
        <f t="shared" si="18"/>
        <v/>
      </c>
      <c r="N126" s="352">
        <f t="shared" si="18"/>
        <v>1</v>
      </c>
      <c r="O126" s="364" t="str">
        <f>IF(OR(AND(E126&lt;&gt;"",E127="",D417&lt;&gt;""),AND(F126&lt;&gt;"",F127="",D417&lt;&gt;""),AND(G126&lt;&gt;"",G127="",D417&lt;&gt;""),AND(H126&lt;&gt;"",H127="",D417&lt;&gt;""),AND(I126&lt;&gt;"",I127="",D417&lt;&gt;""),AND(J126&lt;&gt;"",J127="",D417&lt;&gt;""),AND(K126&lt;&gt;"",K127="",D417&lt;&gt;""),AND(L126&lt;&gt;"",L127="",D417&lt;&gt;""),AND(M126&lt;&gt;"",M127="",D417&lt;&gt;"")), 1, "")</f>
        <v/>
      </c>
      <c r="P126" s="629"/>
      <c r="Q126" s="629"/>
      <c r="R126" s="629"/>
      <c r="S126" s="629"/>
      <c r="T126" s="629"/>
      <c r="U126" s="629"/>
      <c r="V126" s="629"/>
      <c r="W126" s="629"/>
      <c r="X126" s="629"/>
      <c r="Z126" s="630"/>
      <c r="AA126" s="630"/>
      <c r="AB126" s="630"/>
      <c r="AC126" s="630"/>
      <c r="AD126" s="630"/>
      <c r="AE126" s="630"/>
      <c r="AF126" s="630"/>
      <c r="AG126" s="630"/>
      <c r="AH126" s="630"/>
    </row>
    <row r="127" spans="1:83" s="28" customFormat="1" ht="46.5" customHeight="1" x14ac:dyDescent="0.25">
      <c r="A127" s="265"/>
      <c r="B127" s="575" t="s">
        <v>58</v>
      </c>
      <c r="C127" s="576"/>
      <c r="D127" s="577"/>
      <c r="E127" s="229">
        <v>1</v>
      </c>
      <c r="F127" s="229"/>
      <c r="G127" s="229"/>
      <c r="H127" s="229"/>
      <c r="I127" s="229"/>
      <c r="J127" s="229"/>
      <c r="K127" s="229"/>
      <c r="L127" s="229"/>
      <c r="M127" s="229"/>
      <c r="N127" s="353">
        <f>IF(COUNT(E127:M127),SUM(E127:M127),"")</f>
        <v>1</v>
      </c>
      <c r="O127" s="356" t="str">
        <f>IF(O126=1, "&lt;===", "")</f>
        <v/>
      </c>
      <c r="P127" s="629"/>
      <c r="Q127" s="629"/>
      <c r="R127" s="629"/>
      <c r="S127" s="629"/>
      <c r="T127" s="629"/>
      <c r="U127" s="629"/>
      <c r="V127" s="629"/>
      <c r="W127" s="629"/>
      <c r="X127" s="629"/>
      <c r="Z127" s="630"/>
      <c r="AA127" s="630"/>
      <c r="AB127" s="630"/>
      <c r="AC127" s="630"/>
      <c r="AD127" s="630"/>
      <c r="AE127" s="630"/>
      <c r="AF127" s="630"/>
      <c r="AG127" s="630"/>
      <c r="AH127" s="630"/>
    </row>
    <row r="128" spans="1:83" s="348" customFormat="1" ht="48.75" customHeight="1" x14ac:dyDescent="0.25">
      <c r="A128" s="265"/>
      <c r="B128" s="581" t="s">
        <v>104</v>
      </c>
      <c r="C128" s="582"/>
      <c r="D128" s="583"/>
      <c r="E128" s="400">
        <v>0</v>
      </c>
      <c r="F128" s="400"/>
      <c r="G128" s="400"/>
      <c r="H128" s="400"/>
      <c r="I128" s="400"/>
      <c r="J128" s="400"/>
      <c r="K128" s="400"/>
      <c r="L128" s="400"/>
      <c r="M128" s="400"/>
      <c r="N128" s="354">
        <f>IF(COUNT(E128:M128),SUM(E128:M128),"")</f>
        <v>0</v>
      </c>
      <c r="O128" s="356" t="str">
        <f>IF(O150=1, "&lt;===", "")</f>
        <v/>
      </c>
      <c r="P128" s="629"/>
      <c r="Q128" s="629"/>
      <c r="R128" s="629"/>
      <c r="S128" s="629"/>
      <c r="T128" s="629"/>
      <c r="U128" s="629"/>
      <c r="V128" s="629"/>
      <c r="W128" s="629"/>
      <c r="X128" s="629"/>
      <c r="Z128" s="630"/>
      <c r="AA128" s="630"/>
      <c r="AB128" s="630"/>
      <c r="AC128" s="630"/>
      <c r="AD128" s="630"/>
      <c r="AE128" s="630"/>
      <c r="AF128" s="630"/>
      <c r="AG128" s="630"/>
      <c r="AH128" s="630"/>
    </row>
    <row r="129" spans="1:26" s="28" customFormat="1" ht="34.5" hidden="1" customHeight="1" thickBot="1" x14ac:dyDescent="0.3">
      <c r="A129" s="17"/>
      <c r="B129" s="563" t="s">
        <v>44</v>
      </c>
      <c r="C129" s="564"/>
      <c r="D129" s="565"/>
      <c r="E129" s="129"/>
      <c r="F129" s="129"/>
      <c r="G129" s="129"/>
      <c r="H129" s="129"/>
      <c r="I129" s="129"/>
      <c r="J129" s="129"/>
      <c r="K129" s="129"/>
      <c r="L129" s="129"/>
      <c r="M129" s="129"/>
      <c r="N129" s="130" t="str">
        <f>IF(COUNT(E129:M129),SUM(E129:M129),"")</f>
        <v/>
      </c>
      <c r="P129" s="260"/>
    </row>
    <row r="130" spans="1:26" s="52" customFormat="1" ht="18" hidden="1" customHeight="1" thickBot="1" x14ac:dyDescent="0.3">
      <c r="A130" s="17"/>
      <c r="B130" s="572"/>
      <c r="C130" s="573"/>
      <c r="D130" s="574"/>
      <c r="E130" s="174"/>
      <c r="F130" s="174"/>
      <c r="G130" s="174"/>
      <c r="H130" s="174"/>
      <c r="I130" s="174"/>
      <c r="J130" s="174"/>
      <c r="K130" s="174"/>
      <c r="L130" s="174"/>
      <c r="M130" s="174"/>
      <c r="N130" s="174"/>
      <c r="P130" s="260"/>
      <c r="Q130" s="28"/>
      <c r="R130" s="28"/>
      <c r="S130" s="28"/>
      <c r="T130" s="28"/>
      <c r="U130" s="28"/>
      <c r="V130" s="28"/>
      <c r="W130" s="28"/>
      <c r="X130" s="28"/>
      <c r="Y130" s="28"/>
      <c r="Z130" s="28"/>
    </row>
    <row r="131" spans="1:26" s="28" customFormat="1" ht="31.5" hidden="1" customHeight="1" x14ac:dyDescent="0.25">
      <c r="A131" s="17"/>
      <c r="B131" s="526" t="s">
        <v>43</v>
      </c>
      <c r="C131" s="527"/>
      <c r="D131" s="527"/>
      <c r="E131" s="190"/>
      <c r="F131" s="190"/>
      <c r="G131" s="190"/>
      <c r="H131" s="190"/>
      <c r="I131" s="190"/>
      <c r="J131" s="190"/>
      <c r="K131" s="190"/>
      <c r="L131" s="190"/>
      <c r="M131" s="190"/>
      <c r="N131" s="205"/>
      <c r="P131" s="260"/>
    </row>
    <row r="132" spans="1:26" s="52" customFormat="1" ht="18" hidden="1" customHeight="1" x14ac:dyDescent="0.25">
      <c r="A132" s="17"/>
      <c r="B132" s="72"/>
      <c r="C132" s="182" t="s">
        <v>45</v>
      </c>
      <c r="D132" s="73"/>
      <c r="E132" s="195"/>
      <c r="F132" s="195"/>
      <c r="G132" s="195"/>
      <c r="H132" s="195"/>
      <c r="I132" s="195"/>
      <c r="J132" s="195"/>
      <c r="K132" s="195"/>
      <c r="L132" s="195"/>
      <c r="M132" s="195"/>
      <c r="N132" s="196" t="str">
        <f>IF(COUNT(E132:M132),SUM(E132:M132),"")</f>
        <v/>
      </c>
      <c r="P132" s="260"/>
      <c r="Q132" s="28"/>
      <c r="R132" s="28"/>
      <c r="S132" s="28"/>
      <c r="T132" s="28"/>
      <c r="U132" s="28"/>
      <c r="V132" s="28"/>
      <c r="W132" s="28"/>
      <c r="X132" s="28"/>
      <c r="Y132" s="28"/>
      <c r="Z132" s="28"/>
    </row>
    <row r="133" spans="1:26" s="52" customFormat="1" ht="18" hidden="1" customHeight="1" x14ac:dyDescent="0.25">
      <c r="A133" s="17"/>
      <c r="B133" s="98"/>
      <c r="C133" s="189" t="s">
        <v>46</v>
      </c>
      <c r="D133" s="99"/>
      <c r="E133" s="193"/>
      <c r="F133" s="193"/>
      <c r="G133" s="193"/>
      <c r="H133" s="193"/>
      <c r="I133" s="193"/>
      <c r="J133" s="193"/>
      <c r="K133" s="193"/>
      <c r="L133" s="193"/>
      <c r="M133" s="193"/>
      <c r="N133" s="194" t="str">
        <f>IF(COUNT(E133:M133),SUM(E133:M133),"")</f>
        <v/>
      </c>
      <c r="P133" s="260"/>
      <c r="Q133" s="28"/>
      <c r="R133" s="28"/>
      <c r="S133" s="28"/>
      <c r="T133" s="28"/>
      <c r="U133" s="28"/>
      <c r="V133" s="28"/>
      <c r="W133" s="28"/>
      <c r="X133" s="28"/>
      <c r="Y133" s="28"/>
      <c r="Z133" s="28"/>
    </row>
    <row r="134" spans="1:26" s="52" customFormat="1" ht="18" hidden="1" customHeight="1" x14ac:dyDescent="0.25">
      <c r="A134" s="17"/>
      <c r="B134" s="51"/>
      <c r="C134" s="182" t="s">
        <v>47</v>
      </c>
      <c r="D134" s="73"/>
      <c r="E134" s="191"/>
      <c r="F134" s="191"/>
      <c r="G134" s="191"/>
      <c r="H134" s="191"/>
      <c r="I134" s="191"/>
      <c r="J134" s="191"/>
      <c r="K134" s="191"/>
      <c r="L134" s="191"/>
      <c r="M134" s="191"/>
      <c r="N134" s="192" t="str">
        <f>IF(COUNT(E134:M134),SUM(E134:M134),"")</f>
        <v/>
      </c>
      <c r="O134" s="71"/>
      <c r="P134" s="294"/>
      <c r="Q134" s="71"/>
      <c r="R134" s="71"/>
      <c r="S134" s="71"/>
      <c r="T134" s="71"/>
      <c r="U134" s="71"/>
    </row>
    <row r="135" spans="1:26" s="52" customFormat="1" ht="18" hidden="1" customHeight="1" x14ac:dyDescent="0.25">
      <c r="A135" s="17"/>
      <c r="B135" s="98"/>
      <c r="C135" s="189" t="s">
        <v>48</v>
      </c>
      <c r="D135" s="99"/>
      <c r="E135" s="193"/>
      <c r="F135" s="193"/>
      <c r="G135" s="193"/>
      <c r="H135" s="193"/>
      <c r="I135" s="193"/>
      <c r="J135" s="193"/>
      <c r="K135" s="193"/>
      <c r="L135" s="193"/>
      <c r="M135" s="193"/>
      <c r="N135" s="194" t="str">
        <f>IF(COUNT(E135:M135),SUM(E135:M135),"")</f>
        <v/>
      </c>
      <c r="P135" s="260"/>
      <c r="Q135" s="28"/>
      <c r="R135" s="28"/>
      <c r="S135" s="28"/>
      <c r="T135" s="28"/>
      <c r="U135" s="28"/>
      <c r="V135" s="28"/>
      <c r="W135" s="28"/>
      <c r="X135" s="28"/>
      <c r="Y135" s="28"/>
      <c r="Z135" s="28"/>
    </row>
    <row r="136" spans="1:26" s="52" customFormat="1" ht="20.25" hidden="1" customHeight="1" x14ac:dyDescent="0.25">
      <c r="A136" s="17"/>
      <c r="B136" s="485" t="s">
        <v>23</v>
      </c>
      <c r="C136" s="486"/>
      <c r="D136" s="487"/>
      <c r="E136" s="197" t="str">
        <f>IF(OR(E132="",E133="",E134="",E135=""),"",SUM(E132:E135))</f>
        <v/>
      </c>
      <c r="F136" s="197" t="str">
        <f t="shared" ref="F136:M136" si="19">IF(OR(F132="",F133="",F134="",F135=""),"",SUM(F132:F135))</f>
        <v/>
      </c>
      <c r="G136" s="197" t="str">
        <f t="shared" si="19"/>
        <v/>
      </c>
      <c r="H136" s="197" t="str">
        <f t="shared" si="19"/>
        <v/>
      </c>
      <c r="I136" s="197" t="str">
        <f t="shared" si="19"/>
        <v/>
      </c>
      <c r="J136" s="197" t="str">
        <f t="shared" si="19"/>
        <v/>
      </c>
      <c r="K136" s="197" t="str">
        <f t="shared" si="19"/>
        <v/>
      </c>
      <c r="L136" s="197" t="str">
        <f t="shared" si="19"/>
        <v/>
      </c>
      <c r="M136" s="197" t="str">
        <f t="shared" si="19"/>
        <v/>
      </c>
      <c r="N136" s="39" t="str">
        <f>IF(COUNT(N131:N135),SUM(N131:N135),"")</f>
        <v/>
      </c>
      <c r="O136" s="488" t="str">
        <f>IF(OR(AND(E129&lt;E136,E136&lt;&gt;""),AND(F129&lt;F136,F136&lt;&gt;""),AND(G129&lt;G136,G136&lt;&gt;""),AND(H129&lt;H136,H136&lt;&gt;""),AND(I129&lt;I136,I136&lt;&gt;""),AND(J129&lt;J136,J136&lt;&gt;""),AND(K129&lt;K136,K136&lt;&gt;""),AND(L129&lt;L136,L136&lt;&gt;""),AND(M129&lt;M136,M136&lt;&gt;"")),"The total number of cognitive responses can not be more than the total number of graduate surveys returned",IF(OR(AND(E129&gt;E136,E136&lt;&gt;""),AND(F129&gt;F136,F136&lt;&gt;""),AND(G129&gt;G136,G136&lt;&gt;""),AND(H129&gt;H136,H136&lt;&gt;""),AND(I129&gt;I136,I136&lt;&gt;""),AND(J129&gt;J136,J136&lt;&gt;""),AND(K129&gt;K136,K136&lt;&gt;""),AND(L129&gt;L136,L136&lt;&gt;""),AND(M129&lt;&gt;M136,M136&lt;&gt;"")),"The total number of cognitive responses does not match the total number of graduate surveys returned",IF(OR(AND(E129&lt;&gt;E136,E129&lt;&gt;"",E136=""),AND(F129&lt;&gt;F136,F129&lt;&gt;"",F136=""),AND(G129&lt;&gt;G136,G129&lt;&gt;"",G136=""),AND(H129&lt;&gt;H136,H129&lt;&gt;"",H136=""),AND(I129&lt;&gt;I136,I129&lt;&gt;"",I136=""),AND(J129&lt;&gt;J136,J129&lt;&gt;"",J136=""),AND(K129&lt;&gt;K136,K129&lt;&gt;"",K136=""),AND(L129&lt;&gt;L136,L129&lt;&gt;"",L136=""),AND(M129&lt;&gt;M136,M129&lt;&gt;"",M136="")),"The total number of cognitive responses must match the total number of graduate surveys returned","")))</f>
        <v/>
      </c>
      <c r="P136" s="490"/>
      <c r="Q136" s="490"/>
      <c r="R136" s="490"/>
      <c r="S136" s="490"/>
      <c r="T136" s="490"/>
      <c r="U136" s="490"/>
      <c r="V136" s="490"/>
      <c r="W136" s="490"/>
      <c r="X136" s="490"/>
      <c r="Y136" s="490"/>
    </row>
    <row r="137" spans="1:26" s="52" customFormat="1" ht="31.5" hidden="1" customHeight="1" x14ac:dyDescent="0.25">
      <c r="A137" s="17"/>
      <c r="B137" s="526" t="s">
        <v>49</v>
      </c>
      <c r="C137" s="527"/>
      <c r="D137" s="527"/>
      <c r="E137" s="190"/>
      <c r="F137" s="190"/>
      <c r="G137" s="190"/>
      <c r="H137" s="190"/>
      <c r="I137" s="190"/>
      <c r="J137" s="190"/>
      <c r="K137" s="190"/>
      <c r="L137" s="190"/>
      <c r="M137" s="190"/>
      <c r="N137" s="204"/>
      <c r="P137" s="260"/>
    </row>
    <row r="138" spans="1:26" s="52" customFormat="1" ht="18" hidden="1" customHeight="1" x14ac:dyDescent="0.25">
      <c r="A138" s="17"/>
      <c r="B138" s="51"/>
      <c r="C138" s="182" t="s">
        <v>45</v>
      </c>
      <c r="D138" s="73"/>
      <c r="E138" s="195"/>
      <c r="F138" s="195"/>
      <c r="G138" s="195"/>
      <c r="H138" s="195"/>
      <c r="I138" s="195"/>
      <c r="J138" s="195"/>
      <c r="K138" s="195"/>
      <c r="L138" s="195"/>
      <c r="M138" s="195"/>
      <c r="N138" s="196" t="str">
        <f>IF(COUNT(E138:M138),SUM(E138:M138),"")</f>
        <v/>
      </c>
      <c r="P138" s="260"/>
    </row>
    <row r="139" spans="1:26" s="52" customFormat="1" ht="18" hidden="1" customHeight="1" x14ac:dyDescent="0.25">
      <c r="A139" s="17"/>
      <c r="B139" s="98"/>
      <c r="C139" s="189" t="s">
        <v>46</v>
      </c>
      <c r="D139" s="99"/>
      <c r="E139" s="193"/>
      <c r="F139" s="193"/>
      <c r="G139" s="193"/>
      <c r="H139" s="193"/>
      <c r="I139" s="193"/>
      <c r="J139" s="193"/>
      <c r="K139" s="193"/>
      <c r="L139" s="193"/>
      <c r="M139" s="193"/>
      <c r="N139" s="194" t="str">
        <f>IF(COUNT(E139:M139),SUM(E139:M139),"")</f>
        <v/>
      </c>
      <c r="P139" s="260"/>
    </row>
    <row r="140" spans="1:26" s="52" customFormat="1" ht="18" hidden="1" customHeight="1" x14ac:dyDescent="0.25">
      <c r="A140" s="17"/>
      <c r="B140" s="51"/>
      <c r="C140" s="182" t="s">
        <v>47</v>
      </c>
      <c r="D140" s="73"/>
      <c r="E140" s="191"/>
      <c r="F140" s="191"/>
      <c r="G140" s="191"/>
      <c r="H140" s="191"/>
      <c r="I140" s="191"/>
      <c r="J140" s="191"/>
      <c r="K140" s="191"/>
      <c r="L140" s="191"/>
      <c r="M140" s="191"/>
      <c r="N140" s="192" t="str">
        <f>IF(COUNT(E140:M140),SUM(E140:M140),"")</f>
        <v/>
      </c>
      <c r="P140" s="260"/>
    </row>
    <row r="141" spans="1:26" s="52" customFormat="1" ht="18" hidden="1" customHeight="1" x14ac:dyDescent="0.25">
      <c r="A141" s="17"/>
      <c r="B141" s="98"/>
      <c r="C141" s="189" t="s">
        <v>48</v>
      </c>
      <c r="D141" s="99"/>
      <c r="E141" s="193"/>
      <c r="F141" s="193"/>
      <c r="G141" s="193"/>
      <c r="H141" s="193"/>
      <c r="I141" s="193"/>
      <c r="J141" s="193"/>
      <c r="K141" s="193"/>
      <c r="L141" s="193"/>
      <c r="M141" s="193"/>
      <c r="N141" s="194" t="str">
        <f>IF(COUNT(E141:M141),SUM(E141:M141),"")</f>
        <v/>
      </c>
      <c r="P141" s="260"/>
    </row>
    <row r="142" spans="1:26" s="52" customFormat="1" ht="18" hidden="1" customHeight="1" x14ac:dyDescent="0.25">
      <c r="A142" s="17"/>
      <c r="B142" s="485" t="s">
        <v>24</v>
      </c>
      <c r="C142" s="486"/>
      <c r="D142" s="487"/>
      <c r="E142" s="197" t="str">
        <f>IF(OR(E138="",E139="",E140="",E141=""),"",SUM(E138:E141))</f>
        <v/>
      </c>
      <c r="F142" s="197" t="str">
        <f t="shared" ref="F142:M142" si="20">IF(OR(F138="",F139="",F140="",F141=""),"",SUM(F138:F141))</f>
        <v/>
      </c>
      <c r="G142" s="197" t="str">
        <f t="shared" si="20"/>
        <v/>
      </c>
      <c r="H142" s="197" t="str">
        <f t="shared" si="20"/>
        <v/>
      </c>
      <c r="I142" s="197" t="str">
        <f t="shared" si="20"/>
        <v/>
      </c>
      <c r="J142" s="197" t="str">
        <f t="shared" si="20"/>
        <v/>
      </c>
      <c r="K142" s="197" t="str">
        <f t="shared" si="20"/>
        <v/>
      </c>
      <c r="L142" s="197" t="str">
        <f t="shared" si="20"/>
        <v/>
      </c>
      <c r="M142" s="197" t="str">
        <f t="shared" si="20"/>
        <v/>
      </c>
      <c r="N142" s="39" t="str">
        <f>IF(COUNT(N138:N141),SUM(N138:N141),"")</f>
        <v/>
      </c>
      <c r="O142" s="488" t="str">
        <f>IF(OR(AND(E129&lt;E142,E142&lt;&gt;""),AND(F129&lt;F142,F142&lt;&gt;""),AND(G129&lt;G142,G142&lt;&gt;""),AND(H129&lt;H142,H142&lt;&gt;""),AND(I129&lt;I142,I142&lt;&gt;""),AND(J129&lt;J142,J142&lt;&gt;""),AND(K129&lt;K142,K142&lt;&gt;""),AND(L129&lt;L142,L142&lt;&gt;""),AND(M129&lt;M142,M142&lt;&gt;"")),"The total number of psychomotor responses can not be more than the total number of graduate surveys returned",IF(OR(AND(E129&gt;E142,E142&lt;&gt;""),AND(F129&gt;F142,F142&lt;&gt;""),AND(G129&gt;G142,G142&lt;&gt;""),AND(H129&gt;H142,H142&lt;&gt;""),AND(I129&gt;I142,I142&lt;&gt;""),AND(J129&gt;J142,J142&lt;&gt;""),AND(K129&gt;K142,K142&lt;&gt;""),AND(L129&gt;L142,L142&lt;&gt;""),AND(M129&lt;&gt;M142,M142&lt;&gt;"")),"The total number of psychomotor responses does not match the total number of graduate surveys returned",IF(OR(AND(E129&lt;&gt;E142,E129&lt;&gt;"",E142=""),AND(F129&lt;&gt;F142,F129&lt;&gt;"",F142=""),AND(G129&lt;&gt;G142,G129&lt;&gt;"",G142=""),AND(H129&lt;&gt;H142,H129&lt;&gt;"",H142=""),AND(I129&lt;&gt;I142,I129&lt;&gt;"",I142=""),AND(J129&lt;&gt;J142,J129&lt;&gt;"",J142=""),AND(K129&lt;&gt;K142,K129&lt;&gt;"",K142=""),AND(L129&lt;&gt;L142,L129&lt;&gt;"",L142=""),AND(M129&lt;&gt;M142,M129&lt;&gt;"",M142="")),"The total number of psychomotor responses must match the total number of graduate surveys returned","")))</f>
        <v/>
      </c>
      <c r="P142" s="490"/>
      <c r="Q142" s="490"/>
      <c r="R142" s="490"/>
      <c r="S142" s="490"/>
      <c r="T142" s="490"/>
      <c r="U142" s="490"/>
      <c r="V142" s="490"/>
      <c r="W142" s="490"/>
      <c r="X142" s="490"/>
      <c r="Y142" s="490"/>
    </row>
    <row r="143" spans="1:26" s="52" customFormat="1" ht="31.5" hidden="1" customHeight="1" x14ac:dyDescent="0.25">
      <c r="A143" s="17"/>
      <c r="B143" s="526" t="s">
        <v>50</v>
      </c>
      <c r="C143" s="527"/>
      <c r="D143" s="527"/>
      <c r="E143" s="190"/>
      <c r="F143" s="190"/>
      <c r="G143" s="190"/>
      <c r="H143" s="190"/>
      <c r="I143" s="190"/>
      <c r="J143" s="190"/>
      <c r="K143" s="190"/>
      <c r="L143" s="190"/>
      <c r="M143" s="190"/>
      <c r="N143" s="204"/>
      <c r="P143" s="260"/>
    </row>
    <row r="144" spans="1:26" s="52" customFormat="1" ht="18" hidden="1" customHeight="1" x14ac:dyDescent="0.25">
      <c r="A144" s="17"/>
      <c r="B144" s="51"/>
      <c r="C144" s="182" t="s">
        <v>45</v>
      </c>
      <c r="D144" s="73"/>
      <c r="E144" s="195"/>
      <c r="F144" s="195"/>
      <c r="G144" s="195"/>
      <c r="H144" s="195"/>
      <c r="I144" s="195"/>
      <c r="J144" s="195"/>
      <c r="K144" s="195"/>
      <c r="L144" s="195"/>
      <c r="M144" s="195"/>
      <c r="N144" s="196" t="str">
        <f>IF(COUNT(E144:M144),SUM(E144:M144),"")</f>
        <v/>
      </c>
      <c r="P144" s="260"/>
    </row>
    <row r="145" spans="1:35" s="52" customFormat="1" ht="18" hidden="1" customHeight="1" x14ac:dyDescent="0.25">
      <c r="A145" s="17"/>
      <c r="B145" s="98"/>
      <c r="C145" s="189" t="s">
        <v>46</v>
      </c>
      <c r="D145" s="99"/>
      <c r="E145" s="193"/>
      <c r="F145" s="193"/>
      <c r="G145" s="193"/>
      <c r="H145" s="193"/>
      <c r="I145" s="193"/>
      <c r="J145" s="193"/>
      <c r="K145" s="193"/>
      <c r="L145" s="193"/>
      <c r="M145" s="193"/>
      <c r="N145" s="194" t="str">
        <f>IF(COUNT(E145:M145),SUM(E145:M145),"")</f>
        <v/>
      </c>
      <c r="P145" s="260"/>
    </row>
    <row r="146" spans="1:35" s="52" customFormat="1" ht="18" hidden="1" customHeight="1" x14ac:dyDescent="0.25">
      <c r="A146" s="17"/>
      <c r="B146" s="51"/>
      <c r="C146" s="182" t="s">
        <v>47</v>
      </c>
      <c r="D146" s="73"/>
      <c r="E146" s="191"/>
      <c r="F146" s="191"/>
      <c r="G146" s="191"/>
      <c r="H146" s="191"/>
      <c r="I146" s="191"/>
      <c r="J146" s="191"/>
      <c r="K146" s="191"/>
      <c r="L146" s="191"/>
      <c r="M146" s="191"/>
      <c r="N146" s="192" t="str">
        <f>IF(COUNT(E146:M146),SUM(E146:M146),"")</f>
        <v/>
      </c>
      <c r="P146" s="260"/>
    </row>
    <row r="147" spans="1:35" s="52" customFormat="1" ht="18" hidden="1" customHeight="1" x14ac:dyDescent="0.25">
      <c r="A147" s="17"/>
      <c r="B147" s="98"/>
      <c r="C147" s="189" t="s">
        <v>48</v>
      </c>
      <c r="D147" s="99"/>
      <c r="E147" s="193"/>
      <c r="F147" s="193"/>
      <c r="G147" s="193"/>
      <c r="H147" s="193"/>
      <c r="I147" s="193"/>
      <c r="J147" s="193"/>
      <c r="K147" s="193"/>
      <c r="L147" s="193"/>
      <c r="M147" s="193"/>
      <c r="N147" s="194" t="str">
        <f>IF(COUNT(E147:M147),SUM(E147:M147),"")</f>
        <v/>
      </c>
      <c r="P147" s="260"/>
    </row>
    <row r="148" spans="1:35" s="52" customFormat="1" ht="18" hidden="1" customHeight="1" x14ac:dyDescent="0.25">
      <c r="A148" s="17"/>
      <c r="B148" s="485" t="s">
        <v>21</v>
      </c>
      <c r="C148" s="486"/>
      <c r="D148" s="487"/>
      <c r="E148" s="197" t="str">
        <f>IF(OR(E144="",E145="",E146="",E147=""),"",SUM(E144:E147))</f>
        <v/>
      </c>
      <c r="F148" s="197" t="str">
        <f t="shared" ref="F148:M148" si="21">IF(OR(F144="",F145="",F146="",F147=""),"",SUM(F144:F147))</f>
        <v/>
      </c>
      <c r="G148" s="197" t="str">
        <f t="shared" si="21"/>
        <v/>
      </c>
      <c r="H148" s="197" t="str">
        <f t="shared" si="21"/>
        <v/>
      </c>
      <c r="I148" s="197" t="str">
        <f t="shared" si="21"/>
        <v/>
      </c>
      <c r="J148" s="197" t="str">
        <f t="shared" si="21"/>
        <v/>
      </c>
      <c r="K148" s="197" t="str">
        <f t="shared" si="21"/>
        <v/>
      </c>
      <c r="L148" s="197" t="str">
        <f t="shared" si="21"/>
        <v/>
      </c>
      <c r="M148" s="197" t="str">
        <f t="shared" si="21"/>
        <v/>
      </c>
      <c r="N148" s="56" t="str">
        <f>IF(COUNT(N144:N147),SUM(N144:N147),"")</f>
        <v/>
      </c>
      <c r="O148" s="488" t="str">
        <f>IF(OR(AND(E129&lt;E148,E148&lt;&gt;""),AND(F129&lt;F148,F148&lt;&gt;""),AND(G129&lt;G148,G148&lt;&gt;""),AND(H129&lt;H148,H148&lt;&gt;""),AND(I129&lt;I148,I148&lt;&gt;""),AND(J129&lt;J148,J148&lt;&gt;""),AND(K129&lt;K148,K148&lt;&gt;""),AND(L129&lt;L148,L148&lt;&gt;""),AND(M129&lt;M148,M148&lt;&gt;"")),"The total number of affective responses can not be more than the total number of graduate surveys returned",IF(OR(AND(E129&gt;E148,E148&lt;&gt;""),AND(F129&gt;F148,F148&lt;&gt;""),AND(G129&gt;G148,G148&lt;&gt;""),AND(H129&gt;H148,H148&lt;&gt;""),AND(I129&gt;I148,I148&lt;&gt;""),AND(J129&gt;J148,J148&lt;&gt;""),AND(K129&gt;K148,K148&lt;&gt;""),AND(L129&gt;L148,L148&lt;&gt;""),AND(M129&lt;&gt;M148,M148&lt;&gt;"")),"The total number of affective responses does not match the total number of graduate surveys returned",IF(OR(AND(E129&lt;&gt;E148,E129&lt;&gt;"",E148=""),AND(F129&lt;&gt;F148,F129&lt;&gt;"",F148=""),AND(G129&lt;&gt;G148,G129&lt;&gt;"",G148=""),AND(H129&lt;&gt;H148,H129&lt;&gt;"",H148=""),AND(I129&lt;&gt;I148,I129&lt;&gt;"",I148=""),AND(J129&lt;&gt;J148,J129&lt;&gt;"",J148=""),AND(K129&lt;&gt;K148,K129&lt;&gt;"",K148=""),AND(L129&lt;&gt;L148,L129&lt;&gt;"",L148=""),AND(M129&lt;&gt;M148,M129&lt;&gt;"",M148="")),"The total number of affective responses must match the total number of graduate surveys returned","")))</f>
        <v/>
      </c>
      <c r="P148" s="490"/>
      <c r="Q148" s="490"/>
      <c r="R148" s="490"/>
      <c r="S148" s="490"/>
      <c r="T148" s="490"/>
      <c r="U148" s="490"/>
      <c r="V148" s="490"/>
      <c r="W148" s="490"/>
      <c r="X148" s="490"/>
      <c r="Y148" s="490"/>
    </row>
    <row r="149" spans="1:35" s="28" customFormat="1" ht="45.75" hidden="1" customHeight="1" x14ac:dyDescent="0.25">
      <c r="A149" s="17"/>
      <c r="B149" s="501"/>
      <c r="C149" s="502"/>
      <c r="D149" s="503"/>
      <c r="E149" s="248">
        <f t="shared" ref="E149:M149" si="22">IF(OR(E126="",E127=""),"",E127/E126)</f>
        <v>1</v>
      </c>
      <c r="F149" s="248" t="str">
        <f t="shared" si="22"/>
        <v/>
      </c>
      <c r="G149" s="248" t="str">
        <f t="shared" si="22"/>
        <v/>
      </c>
      <c r="H149" s="248" t="str">
        <f t="shared" si="22"/>
        <v/>
      </c>
      <c r="I149" s="248" t="str">
        <f t="shared" si="22"/>
        <v/>
      </c>
      <c r="J149" s="248" t="str">
        <f t="shared" si="22"/>
        <v/>
      </c>
      <c r="K149" s="248" t="str">
        <f t="shared" si="22"/>
        <v/>
      </c>
      <c r="L149" s="248" t="str">
        <f t="shared" si="22"/>
        <v/>
      </c>
      <c r="M149" s="248" t="str">
        <f t="shared" si="22"/>
        <v/>
      </c>
      <c r="N149" s="250">
        <f>IFERROR(AVERAGE(E149:M149),0)</f>
        <v>1</v>
      </c>
      <c r="O149" s="303" t="str">
        <f>IF(P149=1, "&lt;===", "")</f>
        <v/>
      </c>
      <c r="P149" s="278"/>
      <c r="Q149" s="258"/>
      <c r="R149" s="258"/>
      <c r="S149" s="258"/>
      <c r="T149" s="258"/>
      <c r="U149" s="258"/>
      <c r="V149" s="258"/>
      <c r="W149" s="258"/>
      <c r="X149" s="258"/>
      <c r="Y149" s="52"/>
      <c r="Z149" s="52"/>
    </row>
    <row r="150" spans="1:35" s="28" customFormat="1" ht="58.5" customHeight="1" x14ac:dyDescent="0.25">
      <c r="A150" s="17"/>
      <c r="B150" s="467" t="str">
        <f>IF(AND(N126&lt;&gt;"",N127&lt;&gt;"",B151=""),"Completion of the analysis and action plan boxes to the right are required ==&gt;.","")</f>
        <v>Completion of the analysis and action plan boxes to the right are required ==&gt;.</v>
      </c>
      <c r="C150" s="468"/>
      <c r="D150" s="468"/>
      <c r="E150" s="468"/>
      <c r="F150" s="468"/>
      <c r="G150" s="468"/>
      <c r="H150" s="468"/>
      <c r="I150" s="468"/>
      <c r="J150" s="468"/>
      <c r="K150" s="468"/>
      <c r="L150" s="468"/>
      <c r="M150" s="468"/>
      <c r="N150" s="469"/>
      <c r="O150" s="364" t="str">
        <f>IF(OR(AND(E126&lt;&gt;"",E128="",D417&lt;&gt;""),AND(F126&lt;&gt;"",F128="",D417&lt;&gt;""),AND(G126&lt;&gt;"",G128="",D417&lt;&gt;""),AND(H126&lt;&gt;"",H128="",D417&lt;&gt;""),AND(I126&lt;&gt;"",I128="",D417&lt;&gt;""),AND(J126&lt;&gt;"",J128="",D417&lt;&gt;""),AND(K126&lt;&gt;"",K128="",D417&lt;&gt;""),AND(L126&lt;&gt;"",L128="",D417&lt;&gt;""),AND(M126&lt;&gt;"",M128="",D417&lt;&gt;"")), 1, "")</f>
        <v/>
      </c>
      <c r="P150" s="260"/>
      <c r="Q150" s="52"/>
      <c r="R150" s="52"/>
      <c r="S150" s="52"/>
      <c r="T150" s="52"/>
      <c r="U150" s="52"/>
      <c r="V150" s="52"/>
      <c r="W150" s="52"/>
      <c r="X150" s="52"/>
      <c r="Y150" s="52"/>
      <c r="Z150" s="52"/>
    </row>
    <row r="151" spans="1:35" s="52" customFormat="1" ht="51.75" customHeight="1" x14ac:dyDescent="0.25">
      <c r="A151" s="17"/>
      <c r="B151" s="590" t="str">
        <f>IF(OR(AND(N126&lt;N127,N127&lt;&gt;""),AND(E126&lt;E127,E127&lt;&gt;""),AND(F126&lt;F127,F127&lt;&gt;""),AND(G126&lt;G127,G127&lt;&gt;""),AND(H126&lt;H127,H127&lt;&gt;""),AND(I126&lt;I127,I127&lt;&gt;""),AND(J126&lt;J127,J127&lt;&gt;""),AND(K126&lt;K127,K127&lt;&gt;""),AND(L126&lt;L127,L127&lt;&gt;""),AND(M126&lt;M127,M127&lt;&gt;"")),"Error has occurred; The total number of surveys sent cannot be more than the total number of graduates.",IF(OR(AND(E127&lt;E128,E128&lt;&gt;""),AND(F127&lt;F128,F128&lt;&gt;""),AND(G127&lt;G128,G128&lt;&gt;""),AND(H127&lt;H128,H128&lt;&gt;""),AND(I127&lt;I128,I128&lt;&gt;""),AND(J127&lt;J128,J128&lt;&gt;""),AND(K127&lt;K128,K128&lt;&gt;""),AND(L127&lt;L128,L128&lt;&gt;""),AND(M127&lt;M128,M128&lt;&gt;"")),"Error has occurred; The total number of surveys returned cannot be more than the total number of surveys sent.",IF(OR(AND(E126&lt;&gt;"",E127="", D417&lt;&gt;""),AND(E126&lt;&gt;"",E128="",D417&lt;&gt;""),AND(F126&lt;&gt;"",F127="",D417&lt;&gt;""),AND(F126&lt;&gt;"",F128="",D417&lt;&gt;""),AND(G126&lt;&gt;"",G127="",D417&lt;&gt;""),AND(G126&lt;&gt;"",G128="",D417&lt;&gt;""),AND(H126&lt;&gt;"",H127="",D417&lt;&gt;""),AND(H126&lt;&gt;"",H128="",D417&lt;&gt;""),AND(I126&lt;&gt;"",I127="",D417&lt;&gt;""),AND(I126&lt;&gt;"",I128="",D417&lt;&gt;""),AND(J126&lt;&gt;"",J127="",D417&lt;&gt;""),AND(J126&lt;&gt;"",J128="",D417&lt;&gt;""),AND(K126&lt;&gt;"",K127="",D417&lt;&gt;""),AND(K126&lt;&gt;"",K128="",D417&lt;&gt;""),AND(L126&lt;&gt;"",L127="",D417&lt;&gt;""),AND(L126&lt;&gt;"",L128="",D417&lt;&gt;""),AND(M126&lt;&gt;"",M127="",D417&lt;&gt;""),AND(M126&lt;&gt;"",M128="",D417&lt;&gt;"")),"Please Note: An empty or blank cell is not the same a zero.","")))</f>
        <v/>
      </c>
      <c r="C151" s="590"/>
      <c r="D151" s="590"/>
      <c r="E151" s="590"/>
      <c r="F151" s="590"/>
      <c r="G151" s="590"/>
      <c r="H151" s="590"/>
      <c r="I151" s="590"/>
      <c r="J151" s="590"/>
      <c r="K151" s="590"/>
      <c r="L151" s="590"/>
      <c r="M151" s="590"/>
      <c r="N151" s="590"/>
      <c r="P151" s="260"/>
    </row>
    <row r="152" spans="1:35" s="28" customFormat="1" x14ac:dyDescent="0.25">
      <c r="A152" s="265"/>
      <c r="P152" s="260"/>
      <c r="Q152" s="52"/>
      <c r="R152" s="52"/>
      <c r="S152" s="52"/>
      <c r="T152" s="52"/>
      <c r="U152" s="52"/>
      <c r="V152" s="52"/>
      <c r="W152" s="52"/>
      <c r="X152" s="52"/>
      <c r="Y152" s="52"/>
      <c r="Z152" s="52"/>
    </row>
    <row r="153" spans="1:35" s="28" customFormat="1" ht="79.5" customHeight="1" x14ac:dyDescent="0.25">
      <c r="A153" s="265"/>
      <c r="B153" s="491" t="s">
        <v>106</v>
      </c>
      <c r="C153" s="492"/>
      <c r="D153" s="492"/>
      <c r="E153" s="492"/>
      <c r="F153" s="492"/>
      <c r="G153" s="492"/>
      <c r="H153" s="492"/>
      <c r="I153" s="492"/>
      <c r="J153" s="492"/>
      <c r="K153" s="492"/>
      <c r="L153" s="492"/>
      <c r="M153" s="492"/>
      <c r="N153" s="493"/>
      <c r="P153" s="291"/>
      <c r="Q153" s="52"/>
      <c r="R153" s="52"/>
      <c r="S153" s="52"/>
      <c r="T153" s="52"/>
      <c r="U153" s="52"/>
      <c r="V153" s="52"/>
      <c r="W153" s="52"/>
      <c r="X153" s="52"/>
      <c r="Y153" s="52"/>
      <c r="Z153" s="52"/>
    </row>
    <row r="154" spans="1:35" s="262" customFormat="1" x14ac:dyDescent="0.25">
      <c r="A154" s="265"/>
      <c r="P154" s="260"/>
    </row>
    <row r="155" spans="1:35" s="159" customFormat="1" x14ac:dyDescent="0.25">
      <c r="A155" s="265"/>
      <c r="P155" s="260"/>
    </row>
    <row r="156" spans="1:35" s="159" customFormat="1" x14ac:dyDescent="0.25">
      <c r="A156" s="265"/>
      <c r="B156" s="24"/>
      <c r="C156" s="25">
        <f>$D$14</f>
        <v>600045</v>
      </c>
      <c r="D156" s="408" t="str">
        <f>$D$16</f>
        <v>Youngstown State University</v>
      </c>
      <c r="E156" s="408"/>
      <c r="F156" s="408"/>
      <c r="G156" s="408"/>
      <c r="H156" s="408"/>
      <c r="I156" s="408"/>
      <c r="J156" s="408"/>
      <c r="K156" s="408"/>
      <c r="P156" s="441">
        <f>IF(P158&lt;&gt;"",$D$14,"")</f>
        <v>600045</v>
      </c>
      <c r="Q156" s="441"/>
      <c r="R156" s="448" t="str">
        <f>IF(P158&lt;&gt;"",$D$16,"")</f>
        <v>Youngstown State University</v>
      </c>
      <c r="S156" s="448"/>
      <c r="T156" s="448"/>
      <c r="U156" s="448"/>
      <c r="V156" s="448"/>
      <c r="W156" s="448"/>
      <c r="X156" s="448"/>
      <c r="Y156" s="448"/>
      <c r="Z156" s="448"/>
      <c r="AA156" s="448"/>
    </row>
    <row r="157" spans="1:35" s="159" customFormat="1" x14ac:dyDescent="0.25">
      <c r="A157" s="265"/>
      <c r="B157" s="440"/>
      <c r="C157" s="440"/>
      <c r="P157" s="260"/>
      <c r="R157" s="442" t="str">
        <f>IF(P158&lt;&gt;"","Employer Surveys","")</f>
        <v>Employer Surveys</v>
      </c>
      <c r="S157" s="442"/>
      <c r="T157" s="442"/>
      <c r="U157" s="442"/>
      <c r="V157" s="442"/>
    </row>
    <row r="158" spans="1:35" s="159" customFormat="1" ht="23.25" customHeight="1" x14ac:dyDescent="0.25">
      <c r="A158" s="265"/>
      <c r="B158" s="161" t="s">
        <v>41</v>
      </c>
      <c r="C158" s="162"/>
      <c r="D158" s="162"/>
      <c r="E158" s="162"/>
      <c r="F158" s="162"/>
      <c r="G158" s="162"/>
      <c r="H158" s="162"/>
      <c r="I158" s="162"/>
      <c r="J158" s="162"/>
      <c r="K158" s="162"/>
      <c r="L158" s="162"/>
      <c r="M158" s="162"/>
      <c r="N158" s="163"/>
      <c r="P158" s="293" t="s">
        <v>101</v>
      </c>
      <c r="Z158" s="257" t="s">
        <v>102</v>
      </c>
    </row>
    <row r="159" spans="1:35" s="159" customFormat="1" ht="43.5" customHeight="1" x14ac:dyDescent="0.25">
      <c r="A159" s="265"/>
      <c r="B159" s="419" t="s">
        <v>55</v>
      </c>
      <c r="C159" s="420"/>
      <c r="D159" s="420"/>
      <c r="E159" s="420"/>
      <c r="F159" s="420"/>
      <c r="G159" s="420"/>
      <c r="H159" s="420"/>
      <c r="I159" s="420"/>
      <c r="J159" s="420"/>
      <c r="K159" s="420"/>
      <c r="L159" s="420"/>
      <c r="M159" s="420"/>
      <c r="N159" s="421"/>
      <c r="P159" s="629" t="s">
        <v>177</v>
      </c>
      <c r="Q159" s="629"/>
      <c r="R159" s="629"/>
      <c r="S159" s="629"/>
      <c r="T159" s="629"/>
      <c r="U159" s="629"/>
      <c r="V159" s="629"/>
      <c r="W159" s="629"/>
      <c r="X159" s="629"/>
      <c r="Y159" s="356" t="str">
        <f>IF(Y160=1,"&lt;===", "")</f>
        <v/>
      </c>
      <c r="Z159" s="629" t="s">
        <v>178</v>
      </c>
      <c r="AA159" s="629"/>
      <c r="AB159" s="629"/>
      <c r="AC159" s="629"/>
      <c r="AD159" s="629"/>
      <c r="AE159" s="629"/>
      <c r="AF159" s="629"/>
      <c r="AG159" s="629"/>
      <c r="AH159" s="629"/>
      <c r="AI159" s="356" t="str">
        <f>IF(AI160=1,"&lt;===", "")</f>
        <v/>
      </c>
    </row>
    <row r="160" spans="1:35" s="159" customFormat="1" ht="41.25" customHeight="1" x14ac:dyDescent="0.25">
      <c r="A160" s="265"/>
      <c r="B160" s="553"/>
      <c r="C160" s="554"/>
      <c r="D160" s="555"/>
      <c r="E160" s="164" t="str">
        <f>IF(AND($G$44&gt;=1,$G$44&lt;&gt;"Please Select"),"Cohort 
#1:","")</f>
        <v>Cohort 
#1:</v>
      </c>
      <c r="F160" s="164" t="str">
        <f>IF(AND($G$44&gt;=2,$G$44&lt;&gt;"Please Select"),"Cohort 
#2:", "")</f>
        <v/>
      </c>
      <c r="G160" s="164" t="str">
        <f>IF(AND($G$44&gt;=3, $G$44&lt;&gt;"Please Select"),"Cohort 
#3:","")</f>
        <v/>
      </c>
      <c r="H160" s="164" t="str">
        <f>IF(AND($G$44&gt;=4,$G$44&lt;&gt;"Please Select"), "Cohort 
#4:","")</f>
        <v/>
      </c>
      <c r="I160" s="164" t="str">
        <f>IF(AND($G$44&gt;=5,$G$44&lt;&gt;"Please Select"), "Cohort 
#5:","")</f>
        <v/>
      </c>
      <c r="J160" s="164" t="str">
        <f>IF(AND($G$44&gt;=6,$G$44&lt;&gt;"Please Select"), "Cohort 
#6:","")</f>
        <v/>
      </c>
      <c r="K160" s="164" t="str">
        <f>IF(AND($G$44&gt;=7, $G$44&lt;&gt;"Please Select"),"Cohort 
#7:","")</f>
        <v/>
      </c>
      <c r="L160" s="164" t="str">
        <f>IF(AND($G$44&gt;=8,$G$44&lt;&gt;"Please Select"), "Cohort 
#8:","")</f>
        <v/>
      </c>
      <c r="M160" s="164" t="str">
        <f>IF(AND($G$44&gt;=9,$G$44&lt;&gt;"Please Select"), "Cohort 
#9:","")</f>
        <v/>
      </c>
      <c r="N160" s="164" t="s">
        <v>18</v>
      </c>
      <c r="P160" s="629"/>
      <c r="Q160" s="629"/>
      <c r="R160" s="629"/>
      <c r="S160" s="629"/>
      <c r="T160" s="629"/>
      <c r="U160" s="629"/>
      <c r="V160" s="629"/>
      <c r="W160" s="629"/>
      <c r="X160" s="629"/>
      <c r="Y160" s="364" t="str">
        <f>IF(AND(N164&lt;&gt;"", P159="",D417&lt;&gt;""),1, "")</f>
        <v/>
      </c>
      <c r="Z160" s="629"/>
      <c r="AA160" s="629"/>
      <c r="AB160" s="629"/>
      <c r="AC160" s="629"/>
      <c r="AD160" s="629"/>
      <c r="AE160" s="629"/>
      <c r="AF160" s="629"/>
      <c r="AG160" s="629"/>
      <c r="AH160" s="629"/>
      <c r="AI160" s="364" t="str">
        <f>IF(AND(N164&lt;&gt;"", Z159="",D417&lt;&gt;""),1, "")</f>
        <v/>
      </c>
    </row>
    <row r="161" spans="1:34" s="159" customFormat="1" ht="18" customHeight="1" x14ac:dyDescent="0.25">
      <c r="A161" s="265"/>
      <c r="B161" s="443" t="s">
        <v>16</v>
      </c>
      <c r="C161" s="444"/>
      <c r="D161" s="445"/>
      <c r="E161" s="35">
        <f t="shared" ref="E161:M161" si="23">IF(ISBLANK(E50),"",E50)</f>
        <v>42970</v>
      </c>
      <c r="F161" s="35" t="str">
        <f t="shared" si="23"/>
        <v/>
      </c>
      <c r="G161" s="35" t="str">
        <f t="shared" si="23"/>
        <v/>
      </c>
      <c r="H161" s="35" t="str">
        <f t="shared" si="23"/>
        <v/>
      </c>
      <c r="I161" s="35" t="str">
        <f t="shared" si="23"/>
        <v/>
      </c>
      <c r="J161" s="35" t="str">
        <f t="shared" si="23"/>
        <v/>
      </c>
      <c r="K161" s="35" t="str">
        <f t="shared" si="23"/>
        <v/>
      </c>
      <c r="L161" s="35" t="str">
        <f t="shared" si="23"/>
        <v/>
      </c>
      <c r="M161" s="35" t="str">
        <f t="shared" si="23"/>
        <v/>
      </c>
      <c r="N161" s="33"/>
      <c r="P161" s="629"/>
      <c r="Q161" s="629"/>
      <c r="R161" s="629"/>
      <c r="S161" s="629"/>
      <c r="T161" s="629"/>
      <c r="U161" s="629"/>
      <c r="V161" s="629"/>
      <c r="W161" s="629"/>
      <c r="X161" s="629"/>
      <c r="Z161" s="629"/>
      <c r="AA161" s="629"/>
      <c r="AB161" s="629"/>
      <c r="AC161" s="629"/>
      <c r="AD161" s="629"/>
      <c r="AE161" s="629"/>
      <c r="AF161" s="629"/>
      <c r="AG161" s="629"/>
      <c r="AH161" s="629"/>
    </row>
    <row r="162" spans="1:34" s="159" customFormat="1" ht="18" customHeight="1" x14ac:dyDescent="0.25">
      <c r="A162" s="265"/>
      <c r="B162" s="604" t="s">
        <v>14</v>
      </c>
      <c r="C162" s="557"/>
      <c r="D162" s="165"/>
      <c r="E162" s="166">
        <f t="shared" ref="E162:M162" si="24">IF(ISBLANK(E51),"",E51)</f>
        <v>43448</v>
      </c>
      <c r="F162" s="166" t="str">
        <f t="shared" si="24"/>
        <v/>
      </c>
      <c r="G162" s="166" t="str">
        <f t="shared" si="24"/>
        <v/>
      </c>
      <c r="H162" s="166" t="str">
        <f t="shared" si="24"/>
        <v/>
      </c>
      <c r="I162" s="166" t="str">
        <f t="shared" si="24"/>
        <v/>
      </c>
      <c r="J162" s="166" t="str">
        <f t="shared" si="24"/>
        <v/>
      </c>
      <c r="K162" s="166" t="str">
        <f t="shared" si="24"/>
        <v/>
      </c>
      <c r="L162" s="166" t="str">
        <f t="shared" si="24"/>
        <v/>
      </c>
      <c r="M162" s="166" t="str">
        <f t="shared" si="24"/>
        <v/>
      </c>
      <c r="N162" s="167"/>
      <c r="P162" s="629"/>
      <c r="Q162" s="629"/>
      <c r="R162" s="629"/>
      <c r="S162" s="629"/>
      <c r="T162" s="629"/>
      <c r="U162" s="629"/>
      <c r="V162" s="629"/>
      <c r="W162" s="629"/>
      <c r="X162" s="629"/>
      <c r="Z162" s="629"/>
      <c r="AA162" s="629"/>
      <c r="AB162" s="629"/>
      <c r="AC162" s="629"/>
      <c r="AD162" s="629"/>
      <c r="AE162" s="629"/>
      <c r="AF162" s="629"/>
      <c r="AG162" s="629"/>
      <c r="AH162" s="629"/>
    </row>
    <row r="163" spans="1:34" s="159" customFormat="1" ht="32.25" customHeight="1" x14ac:dyDescent="0.25">
      <c r="A163" s="265"/>
      <c r="B163" s="485" t="s">
        <v>17</v>
      </c>
      <c r="C163" s="486"/>
      <c r="D163" s="32"/>
      <c r="E163" s="259">
        <f t="shared" ref="E163:N163" si="25">IF(ISBLANK(E64),"",E64)</f>
        <v>1</v>
      </c>
      <c r="F163" s="259" t="str">
        <f t="shared" si="25"/>
        <v/>
      </c>
      <c r="G163" s="259" t="str">
        <f t="shared" si="25"/>
        <v/>
      </c>
      <c r="H163" s="259" t="str">
        <f t="shared" si="25"/>
        <v/>
      </c>
      <c r="I163" s="259" t="str">
        <f t="shared" si="25"/>
        <v/>
      </c>
      <c r="J163" s="259" t="str">
        <f t="shared" si="25"/>
        <v/>
      </c>
      <c r="K163" s="259" t="str">
        <f t="shared" si="25"/>
        <v/>
      </c>
      <c r="L163" s="259" t="str">
        <f t="shared" si="25"/>
        <v/>
      </c>
      <c r="M163" s="259" t="str">
        <f t="shared" si="25"/>
        <v/>
      </c>
      <c r="N163" s="39">
        <f t="shared" si="25"/>
        <v>1</v>
      </c>
      <c r="P163" s="629"/>
      <c r="Q163" s="629"/>
      <c r="R163" s="629"/>
      <c r="S163" s="629"/>
      <c r="T163" s="629"/>
      <c r="U163" s="629"/>
      <c r="V163" s="629"/>
      <c r="W163" s="629"/>
      <c r="X163" s="629"/>
      <c r="Z163" s="629"/>
      <c r="AA163" s="629"/>
      <c r="AB163" s="629"/>
      <c r="AC163" s="629"/>
      <c r="AD163" s="629"/>
      <c r="AE163" s="629"/>
      <c r="AF163" s="629"/>
      <c r="AG163" s="629"/>
      <c r="AH163" s="629"/>
    </row>
    <row r="164" spans="1:34" s="258" customFormat="1" ht="33" customHeight="1" x14ac:dyDescent="0.25">
      <c r="A164" s="265"/>
      <c r="B164" s="578" t="str">
        <f>"Total Positive Placement in " &amp;D4</f>
        <v>Total Positive Placement in 2018</v>
      </c>
      <c r="C164" s="579"/>
      <c r="D164" s="580"/>
      <c r="E164" s="344">
        <f>IF(ISBLANK(E110),"",E110)</f>
        <v>1</v>
      </c>
      <c r="F164" s="344" t="str">
        <f t="shared" ref="F164:M164" si="26">IF(ISBLANK(F110),"",F110)</f>
        <v/>
      </c>
      <c r="G164" s="344" t="str">
        <f t="shared" si="26"/>
        <v/>
      </c>
      <c r="H164" s="344" t="str">
        <f t="shared" si="26"/>
        <v/>
      </c>
      <c r="I164" s="344" t="str">
        <f t="shared" si="26"/>
        <v/>
      </c>
      <c r="J164" s="344" t="str">
        <f t="shared" si="26"/>
        <v/>
      </c>
      <c r="K164" s="344" t="str">
        <f t="shared" si="26"/>
        <v/>
      </c>
      <c r="L164" s="344" t="str">
        <f t="shared" si="26"/>
        <v/>
      </c>
      <c r="M164" s="344" t="str">
        <f t="shared" si="26"/>
        <v/>
      </c>
      <c r="N164" s="345">
        <f t="shared" ref="N164" si="27">IF(ISBLANK(N110),"",N110)</f>
        <v>1</v>
      </c>
      <c r="P164" s="629"/>
      <c r="Q164" s="629"/>
      <c r="R164" s="629"/>
      <c r="S164" s="629"/>
      <c r="T164" s="629"/>
      <c r="U164" s="629"/>
      <c r="V164" s="629"/>
      <c r="W164" s="629"/>
      <c r="X164" s="629"/>
      <c r="Z164" s="629"/>
      <c r="AA164" s="629"/>
      <c r="AB164" s="629"/>
      <c r="AC164" s="629"/>
      <c r="AD164" s="629"/>
      <c r="AE164" s="629"/>
      <c r="AF164" s="629"/>
      <c r="AG164" s="629"/>
      <c r="AH164" s="629"/>
    </row>
    <row r="165" spans="1:34" s="350" customFormat="1" ht="55.5" customHeight="1" x14ac:dyDescent="0.25">
      <c r="A165" s="265"/>
      <c r="B165" s="591" t="s">
        <v>93</v>
      </c>
      <c r="C165" s="592"/>
      <c r="D165" s="593"/>
      <c r="E165" s="346">
        <v>1</v>
      </c>
      <c r="F165" s="346"/>
      <c r="G165" s="346"/>
      <c r="H165" s="346"/>
      <c r="I165" s="346"/>
      <c r="J165" s="346"/>
      <c r="K165" s="346"/>
      <c r="L165" s="346"/>
      <c r="M165" s="346"/>
      <c r="N165" s="355">
        <f>IF(COUNT(E165:M165),SUM(E165:M165),"")</f>
        <v>1</v>
      </c>
      <c r="O165" s="296" t="str">
        <f>IF(O188=1, "&lt;===", "")</f>
        <v/>
      </c>
      <c r="P165" s="629"/>
      <c r="Q165" s="629"/>
      <c r="R165" s="629"/>
      <c r="S165" s="629"/>
      <c r="T165" s="629"/>
      <c r="U165" s="629"/>
      <c r="V165" s="629"/>
      <c r="W165" s="629"/>
      <c r="X165" s="629"/>
      <c r="Z165" s="629"/>
      <c r="AA165" s="629"/>
      <c r="AB165" s="629"/>
      <c r="AC165" s="629"/>
      <c r="AD165" s="629"/>
      <c r="AE165" s="629"/>
      <c r="AF165" s="629"/>
      <c r="AG165" s="629"/>
      <c r="AH165" s="629"/>
    </row>
    <row r="166" spans="1:34" s="159" customFormat="1" ht="55.5" customHeight="1" x14ac:dyDescent="0.25">
      <c r="A166" s="265"/>
      <c r="B166" s="591" t="s">
        <v>107</v>
      </c>
      <c r="C166" s="592"/>
      <c r="D166" s="593"/>
      <c r="E166" s="346">
        <v>0</v>
      </c>
      <c r="F166" s="346"/>
      <c r="G166" s="346"/>
      <c r="H166" s="346"/>
      <c r="I166" s="346"/>
      <c r="J166" s="346"/>
      <c r="K166" s="346"/>
      <c r="L166" s="346"/>
      <c r="M166" s="346"/>
      <c r="N166" s="347">
        <f>IF(COUNT(E166:M166),SUM(E166:M166),"")</f>
        <v>0</v>
      </c>
      <c r="O166" s="296" t="str">
        <f>IF(O189=1, "&lt;===", "")</f>
        <v/>
      </c>
      <c r="P166" s="629"/>
      <c r="Q166" s="629"/>
      <c r="R166" s="629"/>
      <c r="S166" s="629"/>
      <c r="T166" s="629"/>
      <c r="U166" s="629"/>
      <c r="V166" s="629"/>
      <c r="W166" s="629"/>
      <c r="X166" s="629"/>
      <c r="Z166" s="629"/>
      <c r="AA166" s="629"/>
      <c r="AB166" s="629"/>
      <c r="AC166" s="629"/>
      <c r="AD166" s="629"/>
      <c r="AE166" s="629"/>
      <c r="AF166" s="629"/>
      <c r="AG166" s="629"/>
      <c r="AH166" s="629"/>
    </row>
    <row r="167" spans="1:34" s="159" customFormat="1" ht="57.75" hidden="1" customHeight="1" thickBot="1" x14ac:dyDescent="0.3">
      <c r="A167" s="17"/>
      <c r="B167" s="563" t="s">
        <v>94</v>
      </c>
      <c r="C167" s="564"/>
      <c r="D167" s="565"/>
      <c r="E167" s="329">
        <v>6</v>
      </c>
      <c r="F167" s="329"/>
      <c r="G167" s="329"/>
      <c r="H167" s="329"/>
      <c r="I167" s="329"/>
      <c r="J167" s="329"/>
      <c r="K167" s="329"/>
      <c r="L167" s="329"/>
      <c r="M167" s="329"/>
      <c r="N167" s="327">
        <f>IF(COUNT(E167:M167),SUM(E167:M167),"")</f>
        <v>6</v>
      </c>
      <c r="P167" s="341"/>
      <c r="Q167" s="341"/>
      <c r="R167" s="341"/>
      <c r="S167" s="341"/>
      <c r="T167" s="341"/>
      <c r="U167" s="341"/>
      <c r="V167" s="341"/>
      <c r="W167" s="341"/>
      <c r="Z167" s="341"/>
      <c r="AA167" s="341"/>
      <c r="AB167" s="341"/>
      <c r="AC167" s="341"/>
      <c r="AD167" s="341"/>
      <c r="AE167" s="341"/>
      <c r="AF167" s="341"/>
      <c r="AG167" s="341"/>
    </row>
    <row r="168" spans="1:34" s="159" customFormat="1" ht="18" hidden="1" customHeight="1" thickBot="1" x14ac:dyDescent="0.3">
      <c r="A168" s="17"/>
      <c r="B168" s="599"/>
      <c r="C168" s="600"/>
      <c r="D168" s="601"/>
      <c r="E168" s="168"/>
      <c r="F168" s="168"/>
      <c r="G168" s="168"/>
      <c r="H168" s="168"/>
      <c r="I168" s="168"/>
      <c r="J168" s="168"/>
      <c r="K168" s="168"/>
      <c r="L168" s="168"/>
      <c r="M168" s="168"/>
      <c r="N168" s="326"/>
      <c r="P168" s="260"/>
    </row>
    <row r="169" spans="1:34" s="159" customFormat="1" ht="31.5" hidden="1" customHeight="1" x14ac:dyDescent="0.25">
      <c r="A169" s="17"/>
      <c r="B169" s="556" t="s">
        <v>51</v>
      </c>
      <c r="C169" s="557"/>
      <c r="D169" s="557"/>
      <c r="E169" s="198"/>
      <c r="F169" s="198"/>
      <c r="G169" s="198"/>
      <c r="H169" s="198"/>
      <c r="I169" s="198"/>
      <c r="J169" s="198"/>
      <c r="K169" s="198"/>
      <c r="L169" s="198"/>
      <c r="M169" s="198"/>
      <c r="N169" s="202"/>
      <c r="P169" s="260"/>
    </row>
    <row r="170" spans="1:34" s="159" customFormat="1" ht="18" hidden="1" customHeight="1" x14ac:dyDescent="0.25">
      <c r="A170" s="17"/>
      <c r="B170" s="160"/>
      <c r="C170" s="182" t="s">
        <v>45</v>
      </c>
      <c r="D170" s="158"/>
      <c r="E170" s="195"/>
      <c r="F170" s="195"/>
      <c r="G170" s="195"/>
      <c r="H170" s="195"/>
      <c r="I170" s="195"/>
      <c r="J170" s="195"/>
      <c r="K170" s="195"/>
      <c r="L170" s="195"/>
      <c r="M170" s="195"/>
      <c r="N170" s="196" t="str">
        <f>IF(COUNT(E170:M170),SUM(E170:M170),"")</f>
        <v/>
      </c>
      <c r="P170" s="260"/>
    </row>
    <row r="171" spans="1:34" s="159" customFormat="1" ht="18" hidden="1" customHeight="1" x14ac:dyDescent="0.25">
      <c r="A171" s="17"/>
      <c r="B171" s="169"/>
      <c r="C171" s="201" t="s">
        <v>46</v>
      </c>
      <c r="D171" s="170"/>
      <c r="E171" s="199"/>
      <c r="F171" s="199"/>
      <c r="G171" s="199"/>
      <c r="H171" s="199"/>
      <c r="I171" s="199"/>
      <c r="J171" s="199"/>
      <c r="K171" s="199"/>
      <c r="L171" s="199"/>
      <c r="M171" s="199"/>
      <c r="N171" s="200" t="str">
        <f>IF(COUNT(E171:M171),SUM(E171:M171),"")</f>
        <v/>
      </c>
      <c r="P171" s="260"/>
    </row>
    <row r="172" spans="1:34" s="159" customFormat="1" ht="18" hidden="1" customHeight="1" x14ac:dyDescent="0.25">
      <c r="A172" s="17"/>
      <c r="B172" s="160"/>
      <c r="C172" s="182" t="s">
        <v>47</v>
      </c>
      <c r="D172" s="158"/>
      <c r="E172" s="191"/>
      <c r="F172" s="191"/>
      <c r="G172" s="191"/>
      <c r="H172" s="191"/>
      <c r="I172" s="191"/>
      <c r="J172" s="191"/>
      <c r="K172" s="191"/>
      <c r="L172" s="191"/>
      <c r="M172" s="191"/>
      <c r="N172" s="192" t="str">
        <f>IF(COUNT(E172:M172),SUM(E172:M172),"")</f>
        <v/>
      </c>
      <c r="O172" s="71"/>
      <c r="P172" s="294"/>
      <c r="Q172" s="71"/>
      <c r="R172" s="71"/>
      <c r="S172" s="71"/>
      <c r="T172" s="71"/>
      <c r="U172" s="71"/>
    </row>
    <row r="173" spans="1:34" s="159" customFormat="1" ht="18" hidden="1" customHeight="1" x14ac:dyDescent="0.25">
      <c r="A173" s="17"/>
      <c r="B173" s="169"/>
      <c r="C173" s="201" t="s">
        <v>48</v>
      </c>
      <c r="D173" s="170"/>
      <c r="E173" s="199"/>
      <c r="F173" s="199"/>
      <c r="G173" s="199"/>
      <c r="H173" s="199"/>
      <c r="I173" s="199"/>
      <c r="J173" s="199"/>
      <c r="K173" s="199"/>
      <c r="L173" s="199"/>
      <c r="M173" s="199"/>
      <c r="N173" s="200" t="str">
        <f>IF(COUNT(E173:M173),SUM(E173:M173),"")</f>
        <v/>
      </c>
      <c r="P173" s="260"/>
    </row>
    <row r="174" spans="1:34" s="159" customFormat="1" ht="18" hidden="1" customHeight="1" x14ac:dyDescent="0.25">
      <c r="A174" s="17"/>
      <c r="B174" s="485" t="s">
        <v>23</v>
      </c>
      <c r="C174" s="486"/>
      <c r="D174" s="487"/>
      <c r="E174" s="197" t="str">
        <f>IF(OR(E170="",E171="",E172="",E173="",),"",SUM(E170:E173))</f>
        <v/>
      </c>
      <c r="F174" s="197" t="str">
        <f t="shared" ref="F174:M174" si="28">IF(OR(F170="",F171="",F172="",F173="",),"",SUM(F170:F173))</f>
        <v/>
      </c>
      <c r="G174" s="197" t="str">
        <f t="shared" si="28"/>
        <v/>
      </c>
      <c r="H174" s="197" t="str">
        <f t="shared" si="28"/>
        <v/>
      </c>
      <c r="I174" s="197" t="str">
        <f t="shared" si="28"/>
        <v/>
      </c>
      <c r="J174" s="197" t="str">
        <f t="shared" si="28"/>
        <v/>
      </c>
      <c r="K174" s="197" t="str">
        <f t="shared" si="28"/>
        <v/>
      </c>
      <c r="L174" s="197" t="str">
        <f t="shared" si="28"/>
        <v/>
      </c>
      <c r="M174" s="197" t="str">
        <f t="shared" si="28"/>
        <v/>
      </c>
      <c r="N174" s="39" t="str">
        <f>IF(COUNT(N169:N173),SUM(N169:N173),"")</f>
        <v/>
      </c>
      <c r="O174" s="488" t="str">
        <f>IF(OR(AND(E167&lt;E174,E174&lt;&gt;""),AND(F167&lt;F174,F174&lt;&gt;""),AND(G167&lt;G174,G174&lt;&gt;""),AND(H167&lt;H174,H174&lt;&gt;""),AND(I167&lt;I174,I174&lt;&gt;""),AND(J167&lt;J174,J174&lt;&gt;""),AND(K167&lt;K174,K174&lt;&gt;""),AND(L167&lt;L174,L174&lt;&gt;""),AND(M167&lt;M174,M174&lt;&gt;"")),"The total number of cognitive responses can not be more than the total number of employer surveys returned",IF(OR(AND(E167&gt;E174,E174&lt;&gt;""),AND(F167&gt;F174,F174&lt;&gt;""),AND(G167&gt;G174,G174&lt;&gt;""),AND(H167&gt;H174,H174&lt;&gt;""),AND(I167&gt;I174,I174&lt;&gt;""),AND(J167&gt;J174,J174&lt;&gt;""),AND(K167&gt;K174,K174&lt;&gt;""),AND(L167&gt;L174,L174&lt;&gt;""),AND(M167&gt;M174,M174&lt;&gt;"")),"The total number of cognitive responses does not match the total number of employer surveys returned",IF(OR(AND(E167&lt;&gt;E174,E167&lt;&gt;"",E174=""),AND(F167&lt;&gt;F174,F167&lt;&gt;"",F174=""),AND(G167&lt;&gt;G174,G167&lt;&gt;"",G174=""),AND(H167&lt;&gt;H174,H167&lt;&gt;"",H174=""),AND(I167&lt;&gt;I174,I167&lt;&gt;"",I174=""),AND(J167&lt;&gt;J174,J167&lt;&gt;"",J174=""),AND(K167&lt;&gt;K174,K167&lt;&gt;"",K174=""),AND(L167&lt;&gt;L174,L167&lt;&gt;"",L174=""),AND(M167&lt;&gt;M174,M167&lt;&gt;"",M174="")),"The total number of cognitive responses must match the total number of employer surveys returned","")))</f>
        <v>The total number of cognitive responses must match the total number of employer surveys returned</v>
      </c>
      <c r="P174" s="489"/>
      <c r="Q174" s="489"/>
      <c r="R174" s="489"/>
      <c r="S174" s="489"/>
      <c r="T174" s="489"/>
      <c r="U174" s="489"/>
      <c r="V174" s="489"/>
      <c r="W174" s="489"/>
      <c r="X174" s="489"/>
      <c r="Y174" s="489"/>
    </row>
    <row r="175" spans="1:34" s="159" customFormat="1" ht="31.5" hidden="1" customHeight="1" x14ac:dyDescent="0.25">
      <c r="A175" s="17"/>
      <c r="B175" s="556" t="s">
        <v>52</v>
      </c>
      <c r="C175" s="557"/>
      <c r="D175" s="557"/>
      <c r="E175" s="198"/>
      <c r="F175" s="198"/>
      <c r="G175" s="198"/>
      <c r="H175" s="198"/>
      <c r="I175" s="198"/>
      <c r="J175" s="198"/>
      <c r="K175" s="198"/>
      <c r="L175" s="198"/>
      <c r="M175" s="198"/>
      <c r="N175" s="203"/>
      <c r="P175" s="260"/>
    </row>
    <row r="176" spans="1:34" s="159" customFormat="1" ht="18" hidden="1" customHeight="1" x14ac:dyDescent="0.25">
      <c r="A176" s="17"/>
      <c r="B176" s="160"/>
      <c r="C176" s="182" t="s">
        <v>45</v>
      </c>
      <c r="D176" s="158"/>
      <c r="E176" s="195"/>
      <c r="F176" s="195"/>
      <c r="G176" s="195"/>
      <c r="H176" s="195"/>
      <c r="I176" s="195"/>
      <c r="J176" s="195"/>
      <c r="K176" s="195"/>
      <c r="L176" s="195"/>
      <c r="M176" s="195"/>
      <c r="N176" s="196" t="str">
        <f>IF(COUNT(E176:M176),SUM(E176:M176),"")</f>
        <v/>
      </c>
      <c r="P176" s="260"/>
    </row>
    <row r="177" spans="1:25" s="159" customFormat="1" ht="18" hidden="1" customHeight="1" x14ac:dyDescent="0.25">
      <c r="A177" s="17"/>
      <c r="B177" s="169"/>
      <c r="C177" s="201" t="s">
        <v>46</v>
      </c>
      <c r="D177" s="170"/>
      <c r="E177" s="199"/>
      <c r="F177" s="199"/>
      <c r="G177" s="199"/>
      <c r="H177" s="199"/>
      <c r="I177" s="199"/>
      <c r="J177" s="199"/>
      <c r="K177" s="199"/>
      <c r="L177" s="199"/>
      <c r="M177" s="199"/>
      <c r="N177" s="200" t="str">
        <f>IF(COUNT(E177:M177),SUM(E177:M177),"")</f>
        <v/>
      </c>
      <c r="P177" s="260"/>
    </row>
    <row r="178" spans="1:25" s="159" customFormat="1" ht="18" hidden="1" customHeight="1" x14ac:dyDescent="0.25">
      <c r="A178" s="17"/>
      <c r="B178" s="160"/>
      <c r="C178" s="182" t="s">
        <v>47</v>
      </c>
      <c r="D178" s="158"/>
      <c r="E178" s="191"/>
      <c r="F178" s="191"/>
      <c r="G178" s="191"/>
      <c r="H178" s="191"/>
      <c r="I178" s="191"/>
      <c r="J178" s="191"/>
      <c r="K178" s="191"/>
      <c r="L178" s="191"/>
      <c r="M178" s="191"/>
      <c r="N178" s="192" t="str">
        <f>IF(COUNT(E178:M178),SUM(E178:M178),"")</f>
        <v/>
      </c>
      <c r="P178" s="260"/>
    </row>
    <row r="179" spans="1:25" s="159" customFormat="1" ht="18" hidden="1" customHeight="1" x14ac:dyDescent="0.25">
      <c r="A179" s="17"/>
      <c r="B179" s="169"/>
      <c r="C179" s="201" t="s">
        <v>48</v>
      </c>
      <c r="D179" s="170"/>
      <c r="E179" s="199"/>
      <c r="F179" s="199"/>
      <c r="G179" s="199"/>
      <c r="H179" s="199"/>
      <c r="I179" s="199"/>
      <c r="J179" s="199"/>
      <c r="K179" s="199"/>
      <c r="L179" s="199"/>
      <c r="M179" s="199"/>
      <c r="N179" s="200" t="str">
        <f>IF(COUNT(E179:M179),SUM(E179:M179),"")</f>
        <v/>
      </c>
      <c r="P179" s="260"/>
    </row>
    <row r="180" spans="1:25" s="159" customFormat="1" ht="18" hidden="1" customHeight="1" x14ac:dyDescent="0.25">
      <c r="A180" s="17"/>
      <c r="B180" s="485" t="s">
        <v>24</v>
      </c>
      <c r="C180" s="486"/>
      <c r="D180" s="487"/>
      <c r="E180" s="197" t="str">
        <f>IF(OR(E176="",E177="",E178="",E179="",),"",SUM(E176:E179))</f>
        <v/>
      </c>
      <c r="F180" s="197" t="str">
        <f t="shared" ref="F180:M180" si="29">IF(OR(F176="",F177="",F178="",F179="",),"",SUM(F176:F179))</f>
        <v/>
      </c>
      <c r="G180" s="197" t="str">
        <f t="shared" si="29"/>
        <v/>
      </c>
      <c r="H180" s="197" t="str">
        <f t="shared" si="29"/>
        <v/>
      </c>
      <c r="I180" s="197" t="str">
        <f t="shared" si="29"/>
        <v/>
      </c>
      <c r="J180" s="197" t="str">
        <f t="shared" si="29"/>
        <v/>
      </c>
      <c r="K180" s="197" t="str">
        <f t="shared" si="29"/>
        <v/>
      </c>
      <c r="L180" s="197" t="str">
        <f t="shared" si="29"/>
        <v/>
      </c>
      <c r="M180" s="197" t="str">
        <f t="shared" si="29"/>
        <v/>
      </c>
      <c r="N180" s="39" t="str">
        <f>IF(COUNT(N176:N179),SUM(N176:N179),"")</f>
        <v/>
      </c>
      <c r="O180" s="488" t="str">
        <f>IF(OR(AND(E167&lt;E180,E180&lt;&gt;""),AND(F167&lt;F180,F180&lt;&gt;""),AND(G167&lt;G180,G180&lt;&gt;""),AND(H167&lt;H180,H180&lt;&gt;""),AND(I167&lt;I180,I180&lt;&gt;""),AND(J167&lt;J180,J180&lt;&gt;""),AND(K167&lt;K180,K180&lt;&gt;""),AND(L167&lt;L180,L180&lt;&gt;""),AND(M167&lt;M180,M180&lt;&gt;"")),"The total number of psychomotor responses can not be more than the total number of employer surveys returned",IF(OR(AND(E167&gt;E180,E180&lt;&gt;""),AND(F167&gt;F180,F180&lt;&gt;""),AND(G167&gt;G180,G180&lt;&gt;""),AND(H167&gt;H180,H180&lt;&gt;""),AND(I167&gt;I180,I180&lt;&gt;""),AND(J167&gt;J180,J180&lt;&gt;""),AND(K167&gt;K180,K180&lt;&gt;""),AND(L167&gt;L180,L180&lt;&gt;""),AND(M167&gt;M180,M180&lt;&gt;"")),"The total number of psychomotor responses does not match the total number of employer surveys returned",IF(OR(AND(E167&lt;&gt;E180,E167&lt;&gt;"",E180=""),AND(F167&lt;&gt;F180,F167&lt;&gt;"",F180=""),AND(G167&lt;&gt;G180,G167&lt;&gt;"",G180=""),AND(H167&lt;&gt;H180,H167&lt;&gt;"",H180=""),AND(I167&lt;&gt;I180,I167&lt;&gt;"",I180=""),AND(J167&lt;&gt;J180,J167&lt;&gt;"",J180=""),AND(K167&lt;&gt;K180,K167&lt;&gt;"",K180=""),AND(L167&lt;&gt;L180,L167&lt;&gt;"",L180=""),AND(M167&lt;&gt;M180,M167&lt;&gt;"",M180="")),"The total number of psychomotor responses must match the total number of employer surveys returned","")))</f>
        <v>The total number of psychomotor responses must match the total number of employer surveys returned</v>
      </c>
      <c r="P180" s="490"/>
      <c r="Q180" s="490"/>
      <c r="R180" s="490"/>
      <c r="S180" s="490"/>
      <c r="T180" s="490"/>
      <c r="U180" s="490"/>
      <c r="V180" s="490"/>
      <c r="W180" s="490"/>
      <c r="X180" s="490"/>
      <c r="Y180" s="490"/>
    </row>
    <row r="181" spans="1:25" s="159" customFormat="1" ht="31.5" hidden="1" customHeight="1" x14ac:dyDescent="0.25">
      <c r="A181" s="17"/>
      <c r="B181" s="556" t="s">
        <v>53</v>
      </c>
      <c r="C181" s="557"/>
      <c r="D181" s="557"/>
      <c r="E181" s="198"/>
      <c r="F181" s="198"/>
      <c r="G181" s="198"/>
      <c r="H181" s="198"/>
      <c r="I181" s="198"/>
      <c r="J181" s="198"/>
      <c r="K181" s="198"/>
      <c r="L181" s="198"/>
      <c r="M181" s="198"/>
      <c r="N181" s="207"/>
      <c r="P181" s="260"/>
    </row>
    <row r="182" spans="1:25" s="159" customFormat="1" ht="18" hidden="1" customHeight="1" x14ac:dyDescent="0.25">
      <c r="A182" s="17"/>
      <c r="B182" s="160"/>
      <c r="C182" s="182" t="s">
        <v>45</v>
      </c>
      <c r="D182" s="158"/>
      <c r="E182" s="195"/>
      <c r="F182" s="195"/>
      <c r="G182" s="195"/>
      <c r="H182" s="195"/>
      <c r="I182" s="195"/>
      <c r="J182" s="195"/>
      <c r="K182" s="195"/>
      <c r="L182" s="195"/>
      <c r="M182" s="195"/>
      <c r="N182" s="196" t="str">
        <f>IF(COUNT(E182:M182),SUM(E182:M182),"")</f>
        <v/>
      </c>
      <c r="P182" s="260"/>
    </row>
    <row r="183" spans="1:25" s="159" customFormat="1" ht="28.5" hidden="1" customHeight="1" x14ac:dyDescent="0.25">
      <c r="A183" s="17"/>
      <c r="B183" s="169"/>
      <c r="C183" s="201" t="s">
        <v>46</v>
      </c>
      <c r="D183" s="170"/>
      <c r="E183" s="199"/>
      <c r="F183" s="199"/>
      <c r="G183" s="199"/>
      <c r="H183" s="199"/>
      <c r="I183" s="199"/>
      <c r="J183" s="199"/>
      <c r="K183" s="199"/>
      <c r="L183" s="199"/>
      <c r="M183" s="199"/>
      <c r="N183" s="200" t="str">
        <f>IF(COUNT(E183:M183),SUM(E183:M183),"")</f>
        <v/>
      </c>
      <c r="P183" s="260"/>
    </row>
    <row r="184" spans="1:25" s="159" customFormat="1" ht="30.75" hidden="1" customHeight="1" x14ac:dyDescent="0.25">
      <c r="A184" s="17"/>
      <c r="B184" s="160"/>
      <c r="C184" s="182" t="s">
        <v>47</v>
      </c>
      <c r="D184" s="158"/>
      <c r="E184" s="191"/>
      <c r="F184" s="191"/>
      <c r="G184" s="191"/>
      <c r="H184" s="191"/>
      <c r="I184" s="191"/>
      <c r="J184" s="191"/>
      <c r="K184" s="191"/>
      <c r="L184" s="191"/>
      <c r="M184" s="191"/>
      <c r="N184" s="192" t="str">
        <f>IF(COUNT(E184:M184),SUM(E184:M184),"")</f>
        <v/>
      </c>
      <c r="P184" s="260"/>
    </row>
    <row r="185" spans="1:25" s="159" customFormat="1" ht="24" hidden="1" customHeight="1" x14ac:dyDescent="0.25">
      <c r="A185" s="17"/>
      <c r="B185" s="169"/>
      <c r="C185" s="201" t="s">
        <v>48</v>
      </c>
      <c r="D185" s="170"/>
      <c r="E185" s="199"/>
      <c r="F185" s="199"/>
      <c r="G185" s="199"/>
      <c r="H185" s="199"/>
      <c r="I185" s="199"/>
      <c r="J185" s="199"/>
      <c r="K185" s="199"/>
      <c r="L185" s="199"/>
      <c r="M185" s="199"/>
      <c r="N185" s="200" t="str">
        <f>IF(COUNT(E185:M185),SUM(E185:M185),"")</f>
        <v/>
      </c>
      <c r="P185" s="260"/>
    </row>
    <row r="186" spans="1:25" s="159" customFormat="1" ht="22.5" hidden="1" customHeight="1" x14ac:dyDescent="0.25">
      <c r="A186" s="17"/>
      <c r="B186" s="485" t="s">
        <v>21</v>
      </c>
      <c r="C186" s="486"/>
      <c r="D186" s="487"/>
      <c r="E186" s="197" t="str">
        <f>IF(OR(E182="",E183="",E184="",E185="",),"",SUM(E182:E185))</f>
        <v/>
      </c>
      <c r="F186" s="197" t="str">
        <f t="shared" ref="F186:M186" si="30">IF(OR(F182="",F183="",F184="",F185="",),"",SUM(F182:F185))</f>
        <v/>
      </c>
      <c r="G186" s="197" t="str">
        <f t="shared" si="30"/>
        <v/>
      </c>
      <c r="H186" s="197" t="str">
        <f t="shared" si="30"/>
        <v/>
      </c>
      <c r="I186" s="197" t="str">
        <f t="shared" si="30"/>
        <v/>
      </c>
      <c r="J186" s="197" t="str">
        <f t="shared" si="30"/>
        <v/>
      </c>
      <c r="K186" s="197" t="str">
        <f t="shared" si="30"/>
        <v/>
      </c>
      <c r="L186" s="197" t="str">
        <f t="shared" si="30"/>
        <v/>
      </c>
      <c r="M186" s="197" t="str">
        <f t="shared" si="30"/>
        <v/>
      </c>
      <c r="N186" s="56" t="str">
        <f>IF(COUNT(N182:N185),SUM(N182:N185),"")</f>
        <v/>
      </c>
      <c r="O186" s="488" t="str">
        <f>IF(OR(AND(E167&lt;E186,E186&lt;&gt;""),AND(F167&lt;F186,F186&lt;&gt;""),AND(G167&lt;G186,G186&lt;&gt;""),AND(H167&lt;H186,H186&lt;&gt;""),AND(I167&lt;I186,I186&lt;&gt;""),AND(J167&lt;J186,J186&lt;&gt;""),AND(K167&lt;K186,K186&lt;&gt;""),AND(L167&lt;L186,L186&lt;&gt;""),AND(M167&lt;M186,M186&lt;&gt;"")),"The total number of affective responses can not be more than the total number of employer surveys returned",IF(OR(AND(E167&gt;E186,E186&lt;&gt;""),AND(F167&gt;F186,F186&lt;&gt;""),AND(G167&gt;G186,G186&lt;&gt;""),AND(H167&gt;H186,H186&lt;&gt;""),AND(I167&gt;I186,I186&lt;&gt;""),AND(J167&gt;J186,J186&lt;&gt;""),AND(K167&gt;K186,K186&lt;&gt;""),AND(L167&gt;L186,L186&lt;&gt;""),AND(M167&gt;M186,M186&lt;&gt;"")),"The total number of affective responses does not match the total number of employer surveys returned",IF(OR(AND(E167&lt;&gt;E186,E167&lt;&gt;"",E186=""),AND(F167&lt;&gt;F186,F167&lt;&gt;"",F186=""),AND(G167&lt;&gt;G186,G167&lt;&gt;"",G186=""),AND(H167&lt;&gt;H186,H167&lt;&gt;"",H186=""),AND(I167&lt;&gt;I186,I167&lt;&gt;"",I186=""),AND(J167&lt;&gt;J186,J167&lt;&gt;"",J186=""),AND(K167&lt;&gt;K186,K167&lt;&gt;"",K186=""),AND(L167&lt;&gt;L186,L167&lt;&gt;"",L186=""),AND(M167&lt;&gt;M186,M167&lt;&gt;"",M186="")),"The total number of affective responses must match the total number of employer surveys returned","")))</f>
        <v>The total number of affective responses must match the total number of employer surveys returned</v>
      </c>
      <c r="P186" s="490"/>
      <c r="Q186" s="490"/>
      <c r="R186" s="490"/>
      <c r="S186" s="490"/>
      <c r="T186" s="490"/>
      <c r="U186" s="490"/>
      <c r="V186" s="490"/>
      <c r="W186" s="490"/>
      <c r="X186" s="490"/>
      <c r="Y186" s="490"/>
    </row>
    <row r="187" spans="1:25" s="159" customFormat="1" ht="45.75" hidden="1" customHeight="1" x14ac:dyDescent="0.25">
      <c r="A187" s="17"/>
      <c r="B187" s="501"/>
      <c r="C187" s="502"/>
      <c r="D187" s="503"/>
      <c r="E187" s="248">
        <f t="shared" ref="E187:G187" si="31">IF(OR(E164="",E166=""),"",IF(ISERROR(E166/E164),1,E166/E164))</f>
        <v>0</v>
      </c>
      <c r="F187" s="248" t="str">
        <f t="shared" si="31"/>
        <v/>
      </c>
      <c r="G187" s="248" t="str">
        <f t="shared" si="31"/>
        <v/>
      </c>
      <c r="H187" s="248" t="str">
        <f>IF(OR(H164="",H166=""),"",IF(ISERROR(H166/H164),1,H166/H164))</f>
        <v/>
      </c>
      <c r="I187" s="248" t="str">
        <f t="shared" ref="I187:M187" si="32">IF(OR(I164="",I166=""),"",IF(ISERROR(I166/I164),1,I166/I164))</f>
        <v/>
      </c>
      <c r="J187" s="248" t="str">
        <f t="shared" si="32"/>
        <v/>
      </c>
      <c r="K187" s="248" t="str">
        <f t="shared" si="32"/>
        <v/>
      </c>
      <c r="L187" s="248" t="str">
        <f t="shared" si="32"/>
        <v/>
      </c>
      <c r="M187" s="248" t="str">
        <f t="shared" si="32"/>
        <v/>
      </c>
      <c r="N187" s="250">
        <f>IFERROR(AVERAGE(E187:M187),0)</f>
        <v>0</v>
      </c>
      <c r="O187" s="303" t="str">
        <f>IF(P187=1, "&lt;===", "")</f>
        <v/>
      </c>
      <c r="P187" s="278" t="str">
        <f>IF(OR(AND(E163&lt;&gt;"",E187="",D417&lt;&gt;""),AND(F163&lt;&gt;"",F187="",D417&lt;&gt;""),AND(G163&lt;&gt;"",G187="",D417&lt;&gt;""),AND(H163&lt;&gt;"",H187="",D417&lt;&gt;""),AND(I163&lt;&gt;"",I187="",D417&lt;&gt;""),AND(J163&lt;&gt;"",J187="",D417&lt;&gt;""),AND(K163&lt;&gt;"",K187="",D417&lt;&gt;""),AND(L163&lt;&gt;"",L187="",D417&lt;&gt;""),AND(M163&lt;&gt;"",M187="",D417&lt;&gt;"")), 1, "")</f>
        <v/>
      </c>
    </row>
    <row r="188" spans="1:25" s="159" customFormat="1" ht="58.5" customHeight="1" x14ac:dyDescent="0.25">
      <c r="A188" s="17"/>
      <c r="B188" s="467" t="str">
        <f>IF(AND(N163&lt;&gt;"", N164&lt;&gt;"",N166&lt;&gt;"",B189=""),"Completion of the analysis and action plan boxes to the right are required ==&gt;.","")</f>
        <v>Completion of the analysis and action plan boxes to the right are required ==&gt;.</v>
      </c>
      <c r="C188" s="468"/>
      <c r="D188" s="468"/>
      <c r="E188" s="468"/>
      <c r="F188" s="468"/>
      <c r="G188" s="468"/>
      <c r="H188" s="468"/>
      <c r="I188" s="468"/>
      <c r="J188" s="468"/>
      <c r="K188" s="468"/>
      <c r="L188" s="468"/>
      <c r="M188" s="468"/>
      <c r="N188" s="469"/>
      <c r="O188" s="364" t="str">
        <f>IF(OR(AND(E163&lt;&gt;"",E164&lt;&gt;"",E165="",D417&lt;&gt;""),AND(F163&lt;&gt;"",F164&lt;&gt;"",F165="",D417&lt;&gt;""),AND(G163&lt;&gt;"",G164&lt;&gt;"",G165="",D417&lt;&gt;""),AND(H163&lt;&gt;"",H164&lt;&gt;"",H165="",D417&lt;&gt;""),AND(I163&lt;&gt;"",I164&lt;&gt;"",I165="",D417&lt;&gt;""),AND(J163&lt;&gt;"",J164&lt;&gt;"",J165="",D417&lt;&gt;""),AND(K163&lt;&gt;"",K164&lt;&gt;"",K165="",D417&lt;&gt;""),AND(L163&lt;&gt;"",L164&lt;&gt;"",L165="",D417&lt;&gt;""),AND(M163&lt;&gt;"",M164&lt;&gt;"",M165="",D417&lt;&gt;"")), 1, "")</f>
        <v/>
      </c>
      <c r="P188" s="278"/>
    </row>
    <row r="189" spans="1:25" s="159" customFormat="1" ht="51.75" customHeight="1" x14ac:dyDescent="0.25">
      <c r="A189" s="17"/>
      <c r="B189" s="590" t="str">
        <f>IF(OR(AND(N164&lt;N165,N165&lt;&gt;""),AND(E164&lt;E165,E165&lt;&gt;""),AND(F164&lt;F165,F165&lt;&gt;""),AND(G164&lt;G165,G165&lt;&gt;""),AND(H164&lt;H165,H165&lt;&gt;""),AND(I164&lt;I165,I165&lt;&gt;""),AND(J164&lt;J165,J165&lt;&gt;""),AND(K164&lt;K165,K165&lt;&gt;""),AND(L164&lt;L165,L165&lt;&gt;""),AND(M164&lt;M165,M165&lt;&gt;"")),"Error has occurred; The total number of surveys sent cannot be more than the total number of graduates placed.",IF(OR(AND(E165&lt;E166,E163&lt;&gt;"",E164&lt;&gt;""),AND(F165&lt;F166,F163&lt;&gt;"",F164&lt;&gt;""),AND(G165&lt;G166,G163&lt;&gt;"",G164&lt;&gt;""),AND(H165&lt;H165,H163&lt;&gt;"",H164&lt;&gt;""),AND(I165&lt;I166,I163&lt;&gt;"",I164&lt;&gt;""),AND(J165&lt;J166,J163&lt;&gt;"",J164&lt;&gt;""),AND(K165&lt;K166,K163&lt;&gt;"",K164&lt;&gt;""),AND(L165&lt;L166,L163&lt;&gt;"",L164&lt;&gt;""),AND(M165&lt;M166,M163&lt;&gt;"",M164&lt;&gt;"")),"Error has occurred; The total number of surveys returned cannot be more than the total number of surveys sent.",IF(OR(AND(E164&lt;&gt;"",E165="", D417&lt;&gt;""),AND(E164&lt;&gt;"",E166="",D417&lt;&gt;""),AND(F164&lt;&gt;"",F165="",D417&lt;&gt;""),AND(F164&lt;&gt;"",F166="",D417&lt;&gt;""),AND(G164&lt;&gt;"",G165="",D417&lt;&gt;""),AND(G164&lt;&gt;"",G166="",D417&lt;&gt;""),AND(H164&lt;&gt;"",H165="",D417&lt;&gt;""),AND(H164&lt;&gt;"",H166="",D417&lt;&gt;""),AND(I164&lt;&gt;"",I165="",D417&lt;&gt;""),AND(I164&lt;&gt;"",I166="",D417&lt;&gt;""),AND(J164&lt;&gt;"",J165="",D417&lt;&gt;""),AND(J164&lt;&gt;"",J166="",D417&lt;&gt;""),AND(K164&lt;&gt;"",K165="",D417&lt;&gt;""),AND(K164&lt;&gt;"",K166="",D417&lt;&gt;""),AND(L164&lt;&gt;"",L165="",D417&lt;&gt;""),AND(L164&lt;&gt;"",L166="",D417&lt;&gt;""),AND(M164&lt;&gt;"",M165="",D417&lt;&gt;""),AND(M164&lt;&gt;"",M166="",D417&lt;&gt;"")),"Please Note: An empty or blank cell is not the same a zero.","")))</f>
        <v/>
      </c>
      <c r="C189" s="590"/>
      <c r="D189" s="590"/>
      <c r="E189" s="590"/>
      <c r="F189" s="590"/>
      <c r="G189" s="590"/>
      <c r="H189" s="590"/>
      <c r="I189" s="590"/>
      <c r="J189" s="590"/>
      <c r="K189" s="590"/>
      <c r="L189" s="590"/>
      <c r="M189" s="590"/>
      <c r="N189" s="590"/>
      <c r="O189" s="364" t="str">
        <f>IF(OR(AND(E163&lt;&gt;"",E164&lt;&gt;"",E166="",D417&lt;&gt;""),AND(F163&lt;&gt;"",F164&lt;&gt;"",F166="",D417&lt;&gt;""),AND(G163&lt;&gt;"",G164&lt;&gt;"",G166="",D417&lt;&gt;""),AND(H163&lt;&gt;"",H164&lt;&gt;"",H166="",D417&lt;&gt;""),AND(I163&lt;&gt;"",I164&lt;&gt;"",I166="",D417&lt;&gt;""),AND(J163&lt;&gt;"",J164&lt;&gt;"",J166="",D417&lt;&gt;""),AND(K163&lt;&gt;"",K164&lt;&gt;"",K166="",D417&lt;&gt;""),AND(L163&lt;&gt;"",L164&lt;&gt;"",L166="",D417&lt;&gt;""),AND(M163&lt;&gt;"",M164&lt;&gt;"",M166="",D417&lt;&gt;"")), 1, "")</f>
        <v/>
      </c>
      <c r="P189" s="260"/>
    </row>
    <row r="190" spans="1:25" s="159" customFormat="1" x14ac:dyDescent="0.25">
      <c r="A190" s="265"/>
      <c r="P190" s="260"/>
    </row>
    <row r="191" spans="1:25" s="159" customFormat="1" ht="79.5" customHeight="1" x14ac:dyDescent="0.25">
      <c r="A191" s="265"/>
      <c r="B191" s="491" t="s">
        <v>103</v>
      </c>
      <c r="C191" s="492"/>
      <c r="D191" s="492"/>
      <c r="E191" s="492"/>
      <c r="F191" s="492"/>
      <c r="G191" s="492"/>
      <c r="H191" s="492"/>
      <c r="I191" s="492"/>
      <c r="J191" s="492"/>
      <c r="K191" s="492"/>
      <c r="L191" s="492"/>
      <c r="M191" s="492"/>
      <c r="N191" s="493"/>
      <c r="P191" s="291"/>
    </row>
    <row r="192" spans="1:25" s="262" customFormat="1" x14ac:dyDescent="0.25">
      <c r="A192" s="265"/>
      <c r="P192" s="260"/>
    </row>
    <row r="193" spans="1:26" s="28" customFormat="1" x14ac:dyDescent="0.25">
      <c r="A193" s="265"/>
      <c r="P193" s="260"/>
    </row>
    <row r="194" spans="1:26" s="21" customFormat="1" x14ac:dyDescent="0.25">
      <c r="A194" s="265"/>
      <c r="B194" s="24"/>
      <c r="C194" s="25">
        <f>$D$14</f>
        <v>600045</v>
      </c>
      <c r="D194" s="408" t="str">
        <f>$D$16</f>
        <v>Youngstown State University</v>
      </c>
      <c r="E194" s="408"/>
      <c r="F194" s="408"/>
      <c r="G194" s="408"/>
      <c r="H194" s="408"/>
      <c r="I194" s="408"/>
      <c r="J194" s="408"/>
      <c r="K194" s="408"/>
      <c r="P194" s="260"/>
      <c r="Q194" s="28"/>
      <c r="R194" s="28"/>
      <c r="S194" s="28"/>
      <c r="T194" s="28"/>
      <c r="U194" s="28"/>
      <c r="V194" s="28"/>
      <c r="W194" s="28"/>
      <c r="X194" s="28"/>
      <c r="Y194" s="28"/>
      <c r="Z194" s="28"/>
    </row>
    <row r="195" spans="1:26" s="21" customFormat="1" x14ac:dyDescent="0.25">
      <c r="A195" s="265"/>
      <c r="P195" s="260"/>
      <c r="Q195" s="26"/>
      <c r="R195" s="26"/>
      <c r="S195" s="26"/>
      <c r="T195" s="26"/>
      <c r="U195" s="26"/>
      <c r="V195" s="26"/>
      <c r="W195" s="26"/>
      <c r="X195" s="26"/>
      <c r="Y195" s="26"/>
      <c r="Z195" s="26"/>
    </row>
    <row r="196" spans="1:26" s="19" customFormat="1" ht="18" x14ac:dyDescent="0.25">
      <c r="A196" s="265"/>
      <c r="B196" s="63" t="s">
        <v>1</v>
      </c>
      <c r="C196" s="64"/>
      <c r="D196" s="64"/>
      <c r="E196" s="64"/>
      <c r="F196" s="65"/>
      <c r="G196" s="64"/>
      <c r="H196" s="64"/>
      <c r="I196" s="64"/>
      <c r="J196" s="64"/>
      <c r="K196" s="64"/>
      <c r="L196" s="64"/>
      <c r="M196" s="64"/>
      <c r="N196" s="64"/>
      <c r="P196" s="260"/>
      <c r="Q196" s="28"/>
      <c r="R196" s="28"/>
      <c r="S196" s="28"/>
      <c r="T196" s="28"/>
      <c r="U196" s="28"/>
      <c r="V196" s="28"/>
      <c r="W196" s="28"/>
      <c r="X196" s="28"/>
      <c r="Y196" s="28"/>
      <c r="Z196" s="28"/>
    </row>
    <row r="197" spans="1:26" s="21" customFormat="1" ht="94.5" customHeight="1" x14ac:dyDescent="0.25">
      <c r="A197" s="265"/>
      <c r="B197" s="589" t="s">
        <v>10</v>
      </c>
      <c r="C197" s="589"/>
      <c r="D197" s="589"/>
      <c r="E197" s="589"/>
      <c r="F197" s="589"/>
      <c r="G197" s="589"/>
      <c r="H197" s="589"/>
      <c r="I197" s="589"/>
      <c r="J197" s="589"/>
      <c r="K197" s="589"/>
      <c r="L197" s="589"/>
      <c r="M197" s="589"/>
      <c r="N197" s="589"/>
      <c r="P197" s="260"/>
      <c r="Q197"/>
      <c r="R197"/>
      <c r="S197"/>
      <c r="T197"/>
      <c r="U197"/>
      <c r="V197"/>
      <c r="W197"/>
      <c r="X197"/>
      <c r="Y197"/>
      <c r="Z197"/>
    </row>
    <row r="198" spans="1:26" s="21" customFormat="1" ht="22.5" customHeight="1" x14ac:dyDescent="0.25">
      <c r="A198" s="265"/>
      <c r="B198" s="605" t="s">
        <v>15</v>
      </c>
      <c r="C198" s="605"/>
      <c r="D198" s="605"/>
      <c r="E198" s="605"/>
      <c r="F198" s="605"/>
      <c r="G198" s="605"/>
      <c r="H198" s="605"/>
      <c r="I198" s="605"/>
      <c r="J198" s="605"/>
      <c r="K198" s="605"/>
      <c r="L198" s="605"/>
      <c r="M198" s="605"/>
      <c r="N198" s="605"/>
      <c r="P198" s="260"/>
      <c r="Q198" s="19"/>
      <c r="R198" s="19"/>
      <c r="S198" s="19"/>
      <c r="T198" s="19"/>
      <c r="U198" s="19"/>
      <c r="V198" s="19"/>
      <c r="W198" s="19"/>
      <c r="X198" s="19"/>
      <c r="Y198" s="19"/>
      <c r="Z198" s="19"/>
    </row>
    <row r="199" spans="1:26" s="21" customFormat="1" ht="9.9499999999999993" customHeight="1" x14ac:dyDescent="0.25">
      <c r="A199" s="265"/>
      <c r="P199" s="260"/>
    </row>
    <row r="200" spans="1:26" s="21" customFormat="1" ht="9.9499999999999993" customHeight="1" x14ac:dyDescent="0.25">
      <c r="A200" s="265"/>
      <c r="P200" s="260"/>
    </row>
    <row r="201" spans="1:26" s="230" customFormat="1" ht="17.100000000000001" customHeight="1" x14ac:dyDescent="0.25">
      <c r="A201" s="265"/>
      <c r="B201" s="55"/>
      <c r="C201" s="4" t="s">
        <v>0</v>
      </c>
      <c r="E201" s="20"/>
      <c r="G201" s="173" t="s">
        <v>169</v>
      </c>
      <c r="J201" s="449" t="str">
        <f>IF(G201="No", "The program does not operate Satellite Locations.  Please move to the Resource Assessment section below.", "")</f>
        <v>The program does not operate Satellite Locations.  Please move to the Resource Assessment section below.</v>
      </c>
      <c r="K201" s="449"/>
      <c r="L201" s="449"/>
      <c r="M201" s="449"/>
      <c r="N201" s="449"/>
      <c r="O201" s="296" t="str">
        <f>IF(P201=1, "&lt;===", "")</f>
        <v/>
      </c>
      <c r="P201" s="278" t="str">
        <f>IF(AND(G201="Please Select",D417&lt;&gt;""), 1, "")</f>
        <v/>
      </c>
    </row>
    <row r="202" spans="1:26" s="230" customFormat="1" x14ac:dyDescent="0.25">
      <c r="A202" s="265"/>
      <c r="J202" s="449"/>
      <c r="K202" s="449"/>
      <c r="L202" s="449"/>
      <c r="M202" s="449"/>
      <c r="N202" s="449"/>
      <c r="P202" s="260"/>
    </row>
    <row r="203" spans="1:26" s="19" customFormat="1" ht="23.25" customHeight="1" x14ac:dyDescent="0.25">
      <c r="A203" s="265"/>
      <c r="C203" s="12"/>
      <c r="D203" s="19" t="str">
        <f>IF(G201="Yes", "Number of Satellites?","")</f>
        <v/>
      </c>
      <c r="E203" s="20"/>
      <c r="G203" s="10"/>
      <c r="H203" s="602" t="str">
        <f>IF(AND(G201="Yes",G203=""), " &lt;=== Select from drop down list","")</f>
        <v/>
      </c>
      <c r="I203" s="602"/>
      <c r="J203" s="602"/>
      <c r="O203" s="356" t="str">
        <f>IF(P203=1, "&lt;===", "")</f>
        <v/>
      </c>
      <c r="P203" s="278" t="str">
        <f>IF(AND(G201="Yes",G203="",D417&lt;&gt;""), 1, "")</f>
        <v/>
      </c>
      <c r="Q203" s="21"/>
      <c r="R203" s="21"/>
      <c r="S203" s="21"/>
      <c r="T203" s="21"/>
      <c r="U203" s="21"/>
      <c r="V203" s="21"/>
      <c r="W203" s="21"/>
      <c r="X203" s="21"/>
      <c r="Y203" s="21"/>
      <c r="Z203" s="21"/>
    </row>
    <row r="204" spans="1:26" s="21" customFormat="1" x14ac:dyDescent="0.25">
      <c r="A204" s="265"/>
      <c r="J204" s="230"/>
      <c r="P204" s="260"/>
    </row>
    <row r="205" spans="1:26" s="230" customFormat="1" ht="21.75" customHeight="1" x14ac:dyDescent="0.25">
      <c r="A205" s="265"/>
      <c r="C205" s="598" t="str">
        <f>IF(G201="Yes", "List All Active Satellite Locations","")</f>
        <v/>
      </c>
      <c r="D205" s="598"/>
      <c r="E205" s="598"/>
      <c r="F205" s="598"/>
      <c r="G205" s="598"/>
      <c r="H205" s="598"/>
      <c r="I205" s="281"/>
      <c r="J205" s="258"/>
      <c r="K205" s="258"/>
      <c r="L205" s="258"/>
      <c r="M205" s="258"/>
      <c r="P205" s="260"/>
    </row>
    <row r="206" spans="1:26" s="230" customFormat="1" ht="63.75" customHeight="1" x14ac:dyDescent="0.25">
      <c r="A206" s="265"/>
      <c r="C206" s="603" t="str">
        <f>IF(G201="Yes", "Satellite Name","")</f>
        <v/>
      </c>
      <c r="D206" s="603"/>
      <c r="E206" s="603"/>
      <c r="F206" s="603" t="str">
        <f>IF(G201="Yes", "State","")</f>
        <v/>
      </c>
      <c r="G206" s="603"/>
      <c r="H206" s="232" t="str">
        <f>IF(G201="Yes", "Satellite located in the same state?","")</f>
        <v/>
      </c>
      <c r="I206" s="280"/>
      <c r="J206" s="258"/>
      <c r="K206" s="258"/>
      <c r="L206" s="258"/>
      <c r="M206" s="258"/>
      <c r="P206" s="260"/>
    </row>
    <row r="207" spans="1:26" s="230" customFormat="1" ht="18" customHeight="1" x14ac:dyDescent="0.25">
      <c r="A207" s="265"/>
      <c r="C207" s="426"/>
      <c r="D207" s="426"/>
      <c r="E207" s="426"/>
      <c r="F207" s="422"/>
      <c r="G207" s="422"/>
      <c r="H207" s="302" t="str">
        <f>IF(AND(F207&lt;&gt;"",H18=F207),"Yes",IF(AND(F207&lt;&gt;"",H18&lt;&gt;F207),"No",""))</f>
        <v/>
      </c>
      <c r="I207" s="231"/>
      <c r="J207" s="231"/>
      <c r="K207" s="231"/>
      <c r="L207" s="231"/>
      <c r="M207" s="231"/>
      <c r="N207" s="231"/>
      <c r="O207" s="231"/>
      <c r="P207" s="260"/>
    </row>
    <row r="208" spans="1:26" s="230" customFormat="1" ht="20.100000000000001" customHeight="1" x14ac:dyDescent="0.25">
      <c r="A208" s="265"/>
      <c r="C208" s="426"/>
      <c r="D208" s="426"/>
      <c r="E208" s="426"/>
      <c r="F208" s="422"/>
      <c r="G208" s="422"/>
      <c r="H208" s="302" t="str">
        <f>IF(AND(F208&lt;&gt;"",H18=F208),"Yes",IF(AND(F208&lt;&gt;"",H18&lt;&gt;F208),"No",""))</f>
        <v/>
      </c>
      <c r="I208" s="231"/>
      <c r="J208" s="231"/>
      <c r="K208" s="231"/>
      <c r="L208" s="231"/>
      <c r="M208" s="231"/>
      <c r="N208" s="231"/>
      <c r="O208" s="231"/>
      <c r="P208" s="260"/>
    </row>
    <row r="209" spans="1:26" s="230" customFormat="1" ht="20.100000000000001" customHeight="1" x14ac:dyDescent="0.25">
      <c r="A209" s="265"/>
      <c r="C209" s="426"/>
      <c r="D209" s="426"/>
      <c r="E209" s="426"/>
      <c r="F209" s="422"/>
      <c r="G209" s="422"/>
      <c r="H209" s="302" t="str">
        <f>IF(AND(F209&lt;&gt;"",H18=F209),"Yes",IF(AND(F209&lt;&gt;"",H18&lt;&gt;F209),"No",""))</f>
        <v/>
      </c>
      <c r="I209" s="231"/>
      <c r="J209" s="231"/>
      <c r="K209" s="231"/>
      <c r="L209" s="231"/>
      <c r="M209" s="231"/>
      <c r="N209" s="231"/>
      <c r="O209" s="231"/>
      <c r="P209" s="260"/>
    </row>
    <row r="210" spans="1:26" s="230" customFormat="1" ht="20.100000000000001" customHeight="1" x14ac:dyDescent="0.25">
      <c r="A210" s="265"/>
      <c r="C210" s="426"/>
      <c r="D210" s="426"/>
      <c r="E210" s="426"/>
      <c r="F210" s="422"/>
      <c r="G210" s="422"/>
      <c r="H210" s="302" t="str">
        <f>IF(AND(F210&lt;&gt;"",H18=F210),"Yes",IF(AND(F210&lt;&gt;"",H18&lt;&gt;F210),"No",""))</f>
        <v/>
      </c>
      <c r="I210" s="231"/>
      <c r="J210" s="231"/>
      <c r="K210" s="231"/>
      <c r="L210" s="231"/>
      <c r="M210" s="231"/>
      <c r="N210" s="231"/>
      <c r="O210" s="231"/>
      <c r="P210" s="260"/>
    </row>
    <row r="211" spans="1:26" s="230" customFormat="1" ht="20.100000000000001" customHeight="1" x14ac:dyDescent="0.25">
      <c r="A211" s="265"/>
      <c r="C211" s="426"/>
      <c r="D211" s="426"/>
      <c r="E211" s="426"/>
      <c r="F211" s="422"/>
      <c r="G211" s="422"/>
      <c r="H211" s="302" t="str">
        <f>IF(AND(F211&lt;&gt;"",H18=F211),"Yes",IF(AND(F211&lt;&gt;"",H18&lt;&gt;F211),"No",""))</f>
        <v/>
      </c>
      <c r="I211" s="231"/>
      <c r="J211" s="231"/>
      <c r="K211" s="231"/>
      <c r="L211" s="231"/>
      <c r="M211" s="231"/>
      <c r="N211" s="231"/>
      <c r="O211" s="231"/>
      <c r="P211" s="260"/>
    </row>
    <row r="212" spans="1:26" s="230" customFormat="1" ht="20.100000000000001" customHeight="1" x14ac:dyDescent="0.25">
      <c r="A212" s="265"/>
      <c r="C212" s="426"/>
      <c r="D212" s="426"/>
      <c r="E212" s="426"/>
      <c r="F212" s="422"/>
      <c r="G212" s="422"/>
      <c r="H212" s="302" t="str">
        <f>IF(AND(F212&lt;&gt;"",H18=F212),"Yes",IF(AND(F212&lt;&gt;"",H18&lt;&gt;F212),"No",""))</f>
        <v/>
      </c>
      <c r="I212" s="231"/>
      <c r="J212" s="231"/>
      <c r="K212" s="231"/>
      <c r="L212" s="231"/>
      <c r="M212" s="231"/>
      <c r="N212" s="231"/>
      <c r="O212" s="231"/>
      <c r="P212" s="260"/>
    </row>
    <row r="213" spans="1:26" s="230" customFormat="1" ht="20.100000000000001" customHeight="1" x14ac:dyDescent="0.25">
      <c r="A213" s="265"/>
      <c r="C213" s="426"/>
      <c r="D213" s="426"/>
      <c r="E213" s="426"/>
      <c r="F213" s="422"/>
      <c r="G213" s="422"/>
      <c r="H213" s="302" t="str">
        <f>IF(AND(F213&lt;&gt;"",H18=F213),"Yes",IF(AND(F213&lt;&gt;"",H18&lt;&gt;F213),"No",""))</f>
        <v/>
      </c>
      <c r="I213" s="231"/>
      <c r="J213" s="231"/>
      <c r="K213" s="231"/>
      <c r="L213" s="231"/>
      <c r="M213" s="231"/>
      <c r="N213" s="231"/>
      <c r="O213" s="231"/>
      <c r="P213" s="260"/>
    </row>
    <row r="214" spans="1:26" s="230" customFormat="1" ht="20.100000000000001" customHeight="1" x14ac:dyDescent="0.25">
      <c r="A214" s="265"/>
      <c r="C214" s="426"/>
      <c r="D214" s="426"/>
      <c r="E214" s="426"/>
      <c r="F214" s="422"/>
      <c r="G214" s="422"/>
      <c r="H214" s="302" t="str">
        <f>IF(AND(F214&lt;&gt;"",H18=F214),"Yes",IF(AND(F214&lt;&gt;"",H18&lt;&gt;F214),"No",""))</f>
        <v/>
      </c>
      <c r="I214" s="231"/>
      <c r="J214" s="231"/>
      <c r="K214" s="231"/>
      <c r="L214" s="231"/>
      <c r="M214" s="231"/>
      <c r="N214" s="231"/>
      <c r="O214" s="231"/>
      <c r="P214" s="260"/>
    </row>
    <row r="215" spans="1:26" s="230" customFormat="1" ht="20.100000000000001" customHeight="1" x14ac:dyDescent="0.25">
      <c r="A215" s="265"/>
      <c r="C215" s="426"/>
      <c r="D215" s="426"/>
      <c r="E215" s="426"/>
      <c r="F215" s="422"/>
      <c r="G215" s="422"/>
      <c r="H215" s="302" t="str">
        <f>IF(AND(F215&lt;&gt;"",H18=F215),"Yes",IF(AND(F215&lt;&gt;"",H18&lt;&gt;F215),"No",""))</f>
        <v/>
      </c>
      <c r="I215" s="231"/>
      <c r="J215" s="231"/>
      <c r="K215" s="231"/>
      <c r="L215" s="231"/>
      <c r="M215" s="231"/>
      <c r="N215" s="231"/>
      <c r="O215" s="231"/>
      <c r="P215" s="260"/>
    </row>
    <row r="216" spans="1:26" s="230" customFormat="1" ht="20.100000000000001" customHeight="1" x14ac:dyDescent="0.25">
      <c r="A216" s="265"/>
      <c r="C216" s="426"/>
      <c r="D216" s="426"/>
      <c r="E216" s="426"/>
      <c r="F216" s="422"/>
      <c r="G216" s="422"/>
      <c r="H216" s="302" t="str">
        <f>IF(AND(F216&lt;&gt;"",H18=F216),"Yes",IF(AND(F216&lt;&gt;"",H18&lt;&gt;F216),"No",""))</f>
        <v/>
      </c>
      <c r="I216" s="231"/>
      <c r="J216" s="231"/>
      <c r="K216" s="231"/>
      <c r="L216" s="231"/>
      <c r="M216" s="231"/>
      <c r="N216" s="231"/>
      <c r="O216" s="231"/>
      <c r="P216" s="260"/>
    </row>
    <row r="217" spans="1:26" s="230" customFormat="1" ht="20.100000000000001" customHeight="1" x14ac:dyDescent="0.25">
      <c r="A217" s="265"/>
      <c r="C217" s="426"/>
      <c r="D217" s="426"/>
      <c r="E217" s="426"/>
      <c r="F217" s="422"/>
      <c r="G217" s="422"/>
      <c r="H217" s="302" t="str">
        <f>IF(AND(F217&lt;&gt;"",H18=F217),"Yes",IF(AND(F217&lt;&gt;"",H18&lt;&gt;F217),"No",""))</f>
        <v/>
      </c>
      <c r="I217" s="231"/>
      <c r="J217" s="231"/>
      <c r="K217" s="231"/>
      <c r="L217" s="231"/>
      <c r="M217" s="231"/>
      <c r="N217" s="231"/>
      <c r="O217" s="231"/>
      <c r="P217" s="260"/>
    </row>
    <row r="218" spans="1:26" s="230" customFormat="1" ht="20.100000000000001" customHeight="1" x14ac:dyDescent="0.25">
      <c r="A218" s="265"/>
      <c r="C218" s="426"/>
      <c r="D218" s="426"/>
      <c r="E218" s="426"/>
      <c r="F218" s="422"/>
      <c r="G218" s="422"/>
      <c r="H218" s="302" t="str">
        <f>IF(AND(F218&lt;&gt;"",H18=F218),"Yes",IF(AND(F218&lt;&gt;"",H18&lt;&gt;F218),"No",""))</f>
        <v/>
      </c>
      <c r="I218" s="231"/>
      <c r="J218" s="231"/>
      <c r="K218" s="231"/>
      <c r="L218" s="231"/>
      <c r="M218" s="231"/>
      <c r="N218" s="231"/>
      <c r="O218" s="231"/>
      <c r="P218" s="260"/>
    </row>
    <row r="219" spans="1:26" s="230" customFormat="1" ht="20.100000000000001" customHeight="1" x14ac:dyDescent="0.25">
      <c r="A219" s="265"/>
      <c r="C219" s="426"/>
      <c r="D219" s="426"/>
      <c r="E219" s="426"/>
      <c r="F219" s="422"/>
      <c r="G219" s="422"/>
      <c r="H219" s="302" t="str">
        <f>IF(AND(F219&lt;&gt;"",H18=F219),"Yes",IF(AND(F219&lt;&gt;"",H18&lt;&gt;F219),"No",""))</f>
        <v/>
      </c>
      <c r="I219" s="231"/>
      <c r="J219" s="231"/>
      <c r="K219" s="231"/>
      <c r="L219" s="231"/>
      <c r="M219" s="231"/>
      <c r="N219" s="231"/>
      <c r="O219" s="231"/>
      <c r="P219" s="260"/>
    </row>
    <row r="220" spans="1:26" s="230" customFormat="1" ht="20.100000000000001" customHeight="1" x14ac:dyDescent="0.25">
      <c r="A220" s="265"/>
      <c r="C220" s="426"/>
      <c r="D220" s="426"/>
      <c r="E220" s="426"/>
      <c r="F220" s="422"/>
      <c r="G220" s="422"/>
      <c r="H220" s="302" t="str">
        <f>IF(AND(F220&lt;&gt;"",H18=F220),"Yes",IF(AND(F220&lt;&gt;"",H18&lt;&gt;F220),"No",""))</f>
        <v/>
      </c>
      <c r="I220" s="231"/>
      <c r="J220" s="231"/>
      <c r="K220" s="231"/>
      <c r="L220" s="231"/>
      <c r="M220" s="231"/>
      <c r="N220" s="231"/>
      <c r="O220" s="231"/>
      <c r="P220" s="260"/>
    </row>
    <row r="221" spans="1:26" s="230" customFormat="1" ht="20.100000000000001" customHeight="1" x14ac:dyDescent="0.25">
      <c r="A221" s="265"/>
      <c r="C221" s="426"/>
      <c r="D221" s="426"/>
      <c r="E221" s="426"/>
      <c r="F221" s="422"/>
      <c r="G221" s="422"/>
      <c r="H221" s="302" t="str">
        <f>IF(AND(F221&lt;&gt;"",H18=F221),"Yes",IF(AND(F221&lt;&gt;"",H18&lt;&gt;F221),"No",""))</f>
        <v/>
      </c>
      <c r="I221" s="231"/>
      <c r="J221" s="231"/>
      <c r="K221" s="231"/>
      <c r="L221" s="231"/>
      <c r="M221" s="231"/>
      <c r="N221" s="231"/>
      <c r="O221" s="231"/>
      <c r="P221" s="260"/>
    </row>
    <row r="222" spans="1:26" x14ac:dyDescent="0.25">
      <c r="A222" s="265"/>
      <c r="C222" s="258"/>
      <c r="D222" s="258"/>
      <c r="E222" s="258"/>
      <c r="F222" s="258"/>
      <c r="Q222" s="19"/>
      <c r="R222" s="19"/>
      <c r="S222" s="19"/>
      <c r="T222" s="19"/>
      <c r="U222" s="19"/>
      <c r="V222" s="19"/>
      <c r="W222" s="19"/>
      <c r="X222" s="19"/>
      <c r="Y222" s="19"/>
      <c r="Z222" s="19"/>
    </row>
    <row r="223" spans="1:26" s="26" customFormat="1" x14ac:dyDescent="0.25">
      <c r="A223" s="265"/>
      <c r="P223" s="260"/>
      <c r="Q223" s="28"/>
      <c r="R223" s="28"/>
      <c r="S223" s="28"/>
      <c r="T223" s="28"/>
      <c r="U223" s="28"/>
      <c r="V223" s="28"/>
      <c r="W223" s="28"/>
      <c r="X223" s="28"/>
      <c r="Y223" s="28"/>
      <c r="Z223" s="28"/>
    </row>
    <row r="224" spans="1:26" x14ac:dyDescent="0.25">
      <c r="A224" s="265"/>
      <c r="Q224" s="28"/>
      <c r="R224" s="28"/>
      <c r="S224" s="28"/>
      <c r="T224" s="28"/>
      <c r="U224" s="28"/>
      <c r="V224" s="28"/>
      <c r="W224" s="28"/>
      <c r="X224" s="28"/>
      <c r="Y224" s="28"/>
      <c r="Z224" s="28"/>
    </row>
    <row r="225" spans="1:87" x14ac:dyDescent="0.25">
      <c r="A225" s="265"/>
      <c r="Q225" s="21"/>
      <c r="R225" s="21"/>
      <c r="S225" s="21"/>
      <c r="T225" s="21"/>
      <c r="U225" s="21"/>
      <c r="V225" s="21"/>
      <c r="W225" s="21"/>
      <c r="X225" s="21"/>
      <c r="Y225" s="21"/>
      <c r="Z225" s="21"/>
    </row>
    <row r="226" spans="1:87" s="53" customFormat="1" ht="23.25" customHeight="1" x14ac:dyDescent="0.25">
      <c r="A226" s="265"/>
      <c r="B226" s="59" t="s">
        <v>22</v>
      </c>
      <c r="C226" s="60"/>
      <c r="D226" s="60"/>
      <c r="E226" s="60"/>
      <c r="F226" s="60"/>
      <c r="G226" s="60"/>
      <c r="H226" s="60"/>
      <c r="I226" s="60"/>
      <c r="J226" s="60"/>
      <c r="K226" s="60"/>
      <c r="L226" s="60"/>
      <c r="M226" s="60"/>
      <c r="N226" s="61"/>
      <c r="P226" s="260"/>
    </row>
    <row r="227" spans="1:87" s="53" customFormat="1" ht="74.25" customHeight="1" x14ac:dyDescent="0.25">
      <c r="A227" s="265"/>
      <c r="B227" s="633" t="s">
        <v>34</v>
      </c>
      <c r="C227" s="634"/>
      <c r="D227" s="634"/>
      <c r="E227" s="634"/>
      <c r="F227" s="634"/>
      <c r="G227" s="634"/>
      <c r="H227" s="634"/>
      <c r="I227" s="634"/>
      <c r="J227" s="634"/>
      <c r="K227" s="634"/>
      <c r="L227" s="634"/>
      <c r="M227" s="634"/>
      <c r="N227" s="635"/>
      <c r="P227" s="260"/>
    </row>
    <row r="228" spans="1:87" s="57" customFormat="1" ht="16.5" customHeight="1" x14ac:dyDescent="0.25">
      <c r="A228" s="265"/>
      <c r="B228" s="636" t="s">
        <v>25</v>
      </c>
      <c r="C228" s="637"/>
      <c r="D228" s="637"/>
      <c r="E228" s="637"/>
      <c r="F228" s="637"/>
      <c r="G228" s="637"/>
      <c r="H228" s="637"/>
      <c r="I228" s="637"/>
      <c r="J228" s="637"/>
      <c r="K228" s="637"/>
      <c r="L228" s="637"/>
      <c r="M228" s="637"/>
      <c r="N228" s="638"/>
      <c r="P228" s="260"/>
    </row>
    <row r="229" spans="1:87" s="57" customFormat="1" ht="14.25" customHeight="1" x14ac:dyDescent="0.25">
      <c r="A229" s="265"/>
      <c r="B229" s="586"/>
      <c r="C229" s="587"/>
      <c r="D229" s="587"/>
      <c r="E229" s="587"/>
      <c r="F229" s="587"/>
      <c r="G229" s="587"/>
      <c r="H229" s="587"/>
      <c r="I229" s="587"/>
      <c r="J229" s="587"/>
      <c r="K229" s="587"/>
      <c r="L229" s="587"/>
      <c r="M229" s="587"/>
      <c r="N229" s="588"/>
      <c r="P229" s="260"/>
    </row>
    <row r="230" spans="1:87" s="57" customFormat="1" x14ac:dyDescent="0.25">
      <c r="A230" s="265"/>
      <c r="P230" s="260"/>
    </row>
    <row r="231" spans="1:87" s="57" customFormat="1" ht="39.75" customHeight="1" x14ac:dyDescent="0.25">
      <c r="A231" s="265"/>
      <c r="B231" s="66" t="s">
        <v>26</v>
      </c>
      <c r="C231" s="483" t="str">
        <f>"Were all of the Resource Assessment Matrix [RAM] categories equal to or above 80% in " &amp;D4 &amp;"?"</f>
        <v>Were all of the Resource Assessment Matrix [RAM] categories equal to or above 80% in 2018?</v>
      </c>
      <c r="D231" s="483"/>
      <c r="E231" s="483"/>
      <c r="F231" s="484"/>
      <c r="G231" s="539" t="s">
        <v>166</v>
      </c>
      <c r="H231" s="540"/>
      <c r="J231" s="456" t="str">
        <f>IF(G231="Yes", "Congratulations!!  All Resource Assessment Matrix categories have been indicated as Met.  Please scroll down to the General Information section below.", "")</f>
        <v>Congratulations!!  All Resource Assessment Matrix categories have been indicated as Met.  Please scroll down to the General Information section below.</v>
      </c>
      <c r="K231" s="456"/>
      <c r="L231" s="456"/>
      <c r="M231" s="456"/>
      <c r="N231" s="456"/>
      <c r="O231" s="296" t="str">
        <f>IF(P231=1, "&lt;===", "")</f>
        <v/>
      </c>
      <c r="P231" s="278" t="str">
        <f>IF(AND(G231="Please Select",D417&lt;&gt;""), 1, "")</f>
        <v/>
      </c>
    </row>
    <row r="232" spans="1:87" s="57" customFormat="1" x14ac:dyDescent="0.25">
      <c r="A232" s="265"/>
      <c r="P232" s="260"/>
    </row>
    <row r="233" spans="1:87" s="57" customFormat="1" ht="18.75" x14ac:dyDescent="0.25">
      <c r="A233" s="265"/>
      <c r="B233" s="67"/>
      <c r="C233" s="480" t="str">
        <f>IF(G231="No","Number of deficient resource categories:", "")</f>
        <v/>
      </c>
      <c r="D233" s="480"/>
      <c r="E233" s="480"/>
      <c r="F233" s="481"/>
      <c r="G233" s="476"/>
      <c r="H233" s="476"/>
      <c r="O233" s="356" t="str">
        <f>IF(P233=1, "&lt;===", "")</f>
        <v/>
      </c>
      <c r="P233" s="278" t="str">
        <f>IF(AND(G231="No",G233="",D417&lt;&gt;""), 1, "")</f>
        <v/>
      </c>
    </row>
    <row r="234" spans="1:87" s="57" customFormat="1" ht="6.75" customHeight="1" x14ac:dyDescent="0.25">
      <c r="A234" s="265"/>
      <c r="P234" s="260"/>
    </row>
    <row r="235" spans="1:87" s="57" customFormat="1" ht="45.75" customHeight="1" x14ac:dyDescent="0.25">
      <c r="A235" s="265"/>
      <c r="C235" s="597" t="str">
        <f>IF(G233&gt;=1, "Please Note: It is recommended to compose your text in Word, then copy and paste into the text box(es) below.  Click inside the text box to enter/edt or copy/paste text (there is no spell-check).", "")</f>
        <v/>
      </c>
      <c r="D235" s="597"/>
      <c r="E235" s="597"/>
      <c r="F235" s="597"/>
      <c r="G235" s="597"/>
      <c r="H235" s="597"/>
      <c r="I235" s="70"/>
      <c r="J235" s="70"/>
      <c r="K235" s="70"/>
      <c r="L235" s="70"/>
      <c r="P235" s="260"/>
    </row>
    <row r="236" spans="1:87" s="57" customFormat="1" x14ac:dyDescent="0.25">
      <c r="A236" s="265"/>
      <c r="P236" s="260"/>
      <c r="Q236" s="124"/>
      <c r="R236" s="124"/>
      <c r="S236" s="124"/>
      <c r="T236" s="124"/>
    </row>
    <row r="237" spans="1:87" s="53" customFormat="1" ht="15" customHeight="1" x14ac:dyDescent="0.25">
      <c r="A237" s="265"/>
      <c r="B237" s="24"/>
      <c r="C237" s="25" t="str">
        <f>IF(G233&gt;=1,$D$14,"")</f>
        <v/>
      </c>
      <c r="D237" s="157"/>
      <c r="E237" s="157"/>
      <c r="F237" s="157"/>
      <c r="G237" s="157"/>
      <c r="H237" s="157"/>
      <c r="I237" s="157"/>
      <c r="J237" s="157"/>
      <c r="K237" s="157"/>
      <c r="P237" s="441" t="str">
        <f>IF(G233&gt;=3,$D$14,"")</f>
        <v/>
      </c>
      <c r="Q237" s="441"/>
      <c r="R237" s="448" t="str">
        <f>IF(G233&gt;=3,$D$16,"")</f>
        <v/>
      </c>
      <c r="S237" s="448"/>
      <c r="T237" s="448"/>
      <c r="U237" s="448"/>
      <c r="V237" s="448"/>
      <c r="W237" s="448"/>
      <c r="X237" s="448"/>
      <c r="Y237" s="448"/>
      <c r="Z237" s="448"/>
      <c r="AA237" s="448"/>
      <c r="AB237" s="482" t="str">
        <f>IF(OR(G233=3,G233=4), "&lt;== Once the analysis and action plan boxes have been 
        completed, CLICK HERE to proceed to the next section", "")</f>
        <v/>
      </c>
      <c r="AC237" s="482"/>
      <c r="AD237" s="482"/>
      <c r="AE237" s="482"/>
      <c r="AF237" s="482"/>
      <c r="AG237" s="482"/>
      <c r="AI237" s="441" t="str">
        <f>IF(G233&gt;=5,$D$14,"")</f>
        <v/>
      </c>
      <c r="AJ237" s="441"/>
      <c r="AK237" s="448" t="str">
        <f>IF(G233&gt;=5,$D$16,"")</f>
        <v/>
      </c>
      <c r="AL237" s="448"/>
      <c r="AM237" s="448"/>
      <c r="AN237" s="448"/>
      <c r="AO237" s="448"/>
      <c r="AP237" s="448"/>
      <c r="AQ237" s="448"/>
      <c r="AR237" s="448"/>
      <c r="AS237" s="448"/>
      <c r="AT237" s="482" t="str">
        <f>IF(OR(G233=5,G233=6), "&lt;== Once the analysis and action plan boxes have been 
        completed, CLICK HERE to proceed to the next section", "")</f>
        <v/>
      </c>
      <c r="AU237" s="482"/>
      <c r="AV237" s="482"/>
      <c r="AW237" s="482"/>
      <c r="AX237" s="482"/>
      <c r="AY237" s="482"/>
      <c r="BA237" s="441" t="str">
        <f>IF(G233&gt;=7,$D$14,"")</f>
        <v/>
      </c>
      <c r="BB237" s="441"/>
      <c r="BC237" s="448" t="str">
        <f>IF(G233&gt;=7,$D$16,"")</f>
        <v/>
      </c>
      <c r="BD237" s="448"/>
      <c r="BE237" s="448"/>
      <c r="BF237" s="448"/>
      <c r="BG237" s="448"/>
      <c r="BH237" s="448"/>
      <c r="BI237" s="448"/>
      <c r="BJ237" s="448"/>
      <c r="BK237" s="448"/>
      <c r="BL237" s="482" t="str">
        <f>IF(OR(G233=7,G233=8), "&lt;== Once the analysis and action plan boxes have been 
        completed, CLICK HERE to proceed to the next section", "")</f>
        <v/>
      </c>
      <c r="BM237" s="482"/>
      <c r="BN237" s="482"/>
      <c r="BO237" s="482"/>
      <c r="BP237" s="482"/>
      <c r="BQ237" s="482"/>
      <c r="BS237" s="441" t="str">
        <f>IF(G233&gt;=9,$D$14,"")</f>
        <v/>
      </c>
      <c r="BT237" s="441"/>
      <c r="BU237" s="448" t="str">
        <f>IF(G233&gt;=9,$D$16,"")</f>
        <v/>
      </c>
      <c r="BV237" s="448"/>
      <c r="BW237" s="448"/>
      <c r="BX237" s="448"/>
      <c r="BY237" s="448"/>
      <c r="BZ237" s="448"/>
      <c r="CA237" s="448"/>
      <c r="CB237" s="448"/>
      <c r="CC237" s="448"/>
      <c r="CD237" s="482" t="str">
        <f>IF(OR(G233=9,G233=10), "&lt;== Once the analysis and action plan boxes have been 
        completed, CLICK HERE to proceed to the next section", "")</f>
        <v/>
      </c>
      <c r="CE237" s="482"/>
      <c r="CF237" s="482"/>
      <c r="CG237" s="482"/>
      <c r="CH237" s="482"/>
      <c r="CI237" s="482"/>
    </row>
    <row r="238" spans="1:87" s="143" customFormat="1" ht="15" customHeight="1" x14ac:dyDescent="0.25">
      <c r="A238" s="265"/>
      <c r="D238" s="448"/>
      <c r="E238" s="448"/>
      <c r="F238" s="448"/>
      <c r="G238" s="448"/>
      <c r="P238" s="260"/>
      <c r="R238" s="448" t="str">
        <f>IF(G233&gt;=3,"Resource Assessment","")</f>
        <v/>
      </c>
      <c r="S238" s="448"/>
      <c r="T238" s="448"/>
      <c r="U238" s="448"/>
      <c r="V238" s="448"/>
      <c r="AB238" s="482"/>
      <c r="AC238" s="482"/>
      <c r="AD238" s="482"/>
      <c r="AE238" s="482"/>
      <c r="AF238" s="482"/>
      <c r="AG238" s="482"/>
      <c r="AK238" s="448" t="str">
        <f>IF(G233&gt;=5,"Resource Assessment","")</f>
        <v/>
      </c>
      <c r="AL238" s="448"/>
      <c r="AM238" s="448"/>
      <c r="AN238" s="448"/>
      <c r="AO238" s="448"/>
      <c r="AT238" s="482"/>
      <c r="AU238" s="482"/>
      <c r="AV238" s="482"/>
      <c r="AW238" s="482"/>
      <c r="AX238" s="482"/>
      <c r="AY238" s="482"/>
      <c r="BC238" s="448" t="str">
        <f>IF(G233&gt;=7,"Resource Assessment","")</f>
        <v/>
      </c>
      <c r="BD238" s="448"/>
      <c r="BE238" s="448"/>
      <c r="BF238" s="448"/>
      <c r="BG238" s="448"/>
      <c r="BL238" s="482"/>
      <c r="BM238" s="482"/>
      <c r="BN238" s="482"/>
      <c r="BO238" s="482"/>
      <c r="BP238" s="482"/>
      <c r="BQ238" s="482"/>
      <c r="BU238" s="448" t="str">
        <f>IF(G233&gt;=9,"Resource Assessment","")</f>
        <v/>
      </c>
      <c r="BV238" s="448"/>
      <c r="BW238" s="448"/>
      <c r="BX238" s="448"/>
      <c r="BY238" s="448"/>
      <c r="CD238" s="482"/>
      <c r="CE238" s="482"/>
      <c r="CF238" s="482"/>
      <c r="CG238" s="482"/>
      <c r="CH238" s="482"/>
      <c r="CI238" s="482"/>
    </row>
    <row r="239" spans="1:87" s="53" customFormat="1" ht="15" customHeight="1" x14ac:dyDescent="0.25">
      <c r="A239" s="265"/>
      <c r="B239" s="440"/>
      <c r="C239" s="440"/>
      <c r="D239" s="143"/>
      <c r="E239" s="143"/>
      <c r="F239" s="143"/>
      <c r="G239" s="143"/>
      <c r="K239" s="415" t="str">
        <f>IF(G233&gt;2, "Scroll to the right to provide information on the next deficient resource category ==&gt;", "")</f>
        <v/>
      </c>
      <c r="L239" s="415"/>
      <c r="M239" s="415"/>
      <c r="N239" s="415"/>
      <c r="O239" s="128"/>
      <c r="P239" s="260"/>
      <c r="AC239" s="415" t="str">
        <f>IF(G233&gt;4, "Scroll to the right to provide information on the next deficient resource category ==&gt;", "")</f>
        <v/>
      </c>
      <c r="AD239" s="415"/>
      <c r="AE239" s="415"/>
      <c r="AF239" s="415"/>
      <c r="AG239" s="415"/>
      <c r="AU239" s="415" t="str">
        <f>IF(G233&gt;6, "Scroll to the right to provide information on the next deficient resource category ==&gt;", "")</f>
        <v/>
      </c>
      <c r="AV239" s="415"/>
      <c r="AW239" s="415"/>
      <c r="AX239" s="415"/>
      <c r="AY239" s="415"/>
      <c r="BM239" s="415" t="str">
        <f>IF(G233&gt;8, "Scroll to the right to provide information on the next deficient resource category ==&gt;", "")</f>
        <v/>
      </c>
      <c r="BN239" s="415"/>
      <c r="BO239" s="415"/>
      <c r="BP239" s="415"/>
      <c r="BQ239" s="415"/>
      <c r="CD239" s="208"/>
      <c r="CE239" s="208"/>
      <c r="CF239" s="208"/>
      <c r="CG239" s="208"/>
      <c r="CH239" s="208"/>
      <c r="CI239" s="208"/>
    </row>
    <row r="240" spans="1:87" s="57" customFormat="1" ht="17.25" customHeight="1" x14ac:dyDescent="0.25">
      <c r="A240" s="265"/>
      <c r="D240" s="143"/>
      <c r="E240" s="143"/>
      <c r="F240" s="143"/>
      <c r="G240" s="143"/>
      <c r="K240" s="415"/>
      <c r="L240" s="415"/>
      <c r="M240" s="415"/>
      <c r="N240" s="415"/>
      <c r="P240" s="260"/>
      <c r="AC240" s="415"/>
      <c r="AD240" s="415"/>
      <c r="AE240" s="415"/>
      <c r="AF240" s="415"/>
      <c r="AG240" s="415"/>
      <c r="AT240" s="128"/>
      <c r="AU240" s="415"/>
      <c r="AV240" s="415"/>
      <c r="AW240" s="415"/>
      <c r="AX240" s="415"/>
      <c r="AY240" s="415"/>
      <c r="BM240" s="415"/>
      <c r="BN240" s="415"/>
      <c r="BO240" s="415"/>
      <c r="BP240" s="415"/>
      <c r="BQ240" s="415"/>
      <c r="CE240" s="128"/>
      <c r="CF240" s="128"/>
      <c r="CG240" s="128"/>
      <c r="CH240" s="128"/>
      <c r="CI240" s="128"/>
    </row>
    <row r="241" spans="1:93" s="143" customFormat="1" x14ac:dyDescent="0.25">
      <c r="A241" s="265"/>
      <c r="P241" s="260"/>
    </row>
    <row r="242" spans="1:93" s="57" customFormat="1" ht="31.5" customHeight="1" x14ac:dyDescent="0.25">
      <c r="A242" s="265"/>
      <c r="B242" s="67"/>
      <c r="C242" s="594" t="str">
        <f>IF(G233&gt;=1,"Deficient Resource Category #1:", "")</f>
        <v/>
      </c>
      <c r="D242" s="594"/>
      <c r="E242" s="476"/>
      <c r="F242" s="476"/>
      <c r="G242" s="476"/>
      <c r="H242" s="365" t="str">
        <f>IF(H243=1, "&lt;===", "")</f>
        <v/>
      </c>
      <c r="I242" s="446" t="str">
        <f>IF(G233&gt;=2,"Deficient Resource Category #2:", "")</f>
        <v/>
      </c>
      <c r="J242" s="446"/>
      <c r="K242" s="446"/>
      <c r="L242" s="476"/>
      <c r="M242" s="476"/>
      <c r="N242" s="476"/>
      <c r="O242" s="366" t="str">
        <f>IF(O243=1, "&lt;===", "")</f>
        <v/>
      </c>
      <c r="P242" s="594" t="str">
        <f>IF(G233&gt;=3,"Deficient Resource Category #3:", "")</f>
        <v/>
      </c>
      <c r="Q242" s="594"/>
      <c r="R242" s="594"/>
      <c r="S242" s="594"/>
      <c r="T242" s="476"/>
      <c r="U242" s="476"/>
      <c r="V242" s="476"/>
      <c r="W242" s="476"/>
      <c r="X242" s="356" t="str">
        <f>IF(X243=1, "&lt;===", "")</f>
        <v/>
      </c>
      <c r="Y242" s="594" t="str">
        <f>IF(G233&gt;=4,"Deficient Resource Category #4:", "")</f>
        <v/>
      </c>
      <c r="Z242" s="594"/>
      <c r="AA242" s="594"/>
      <c r="AB242" s="594"/>
      <c r="AC242" s="476"/>
      <c r="AD242" s="476"/>
      <c r="AE242" s="476"/>
      <c r="AF242" s="476"/>
      <c r="AG242" s="356" t="str">
        <f>IF(AG243=1, "&lt;===", "")</f>
        <v/>
      </c>
      <c r="AI242" s="594" t="str">
        <f>IF(G233&gt;=5,"Deficient Resource Category #5:", "")</f>
        <v/>
      </c>
      <c r="AJ242" s="594"/>
      <c r="AK242" s="594"/>
      <c r="AL242" s="594"/>
      <c r="AM242" s="476"/>
      <c r="AN242" s="476"/>
      <c r="AO242" s="476"/>
      <c r="AP242" s="476"/>
      <c r="AQ242" s="356" t="str">
        <f>IF(AQ243=1, "&lt;===", "")</f>
        <v/>
      </c>
      <c r="AR242" s="594" t="str">
        <f>IF(G233&gt;=6,"Deficient Resource Category #6:", "")</f>
        <v/>
      </c>
      <c r="AS242" s="594"/>
      <c r="AT242" s="594"/>
      <c r="AU242" s="594"/>
      <c r="AV242" s="595"/>
      <c r="AW242" s="595"/>
      <c r="AX242" s="595"/>
      <c r="AY242" s="595"/>
      <c r="AZ242" s="356" t="str">
        <f>IF(AZ243=1, "&lt;===", "")</f>
        <v/>
      </c>
      <c r="BA242" s="594" t="str">
        <f>IF(G233&gt;=7,"Deficient Resource Category #7:", "")</f>
        <v/>
      </c>
      <c r="BB242" s="594"/>
      <c r="BC242" s="594"/>
      <c r="BD242" s="594"/>
      <c r="BE242" s="476"/>
      <c r="BF242" s="476"/>
      <c r="BG242" s="476"/>
      <c r="BH242" s="476"/>
      <c r="BI242" s="356" t="str">
        <f>IF(BI243=1, "&lt;===", "")</f>
        <v/>
      </c>
      <c r="BJ242" s="594" t="str">
        <f>IF(G233&gt;=8,"Deficient Resource Category #8:", "")</f>
        <v/>
      </c>
      <c r="BK242" s="594"/>
      <c r="BL242" s="594"/>
      <c r="BM242" s="594"/>
      <c r="BN242" s="476"/>
      <c r="BO242" s="476"/>
      <c r="BP242" s="476"/>
      <c r="BQ242" s="476"/>
      <c r="BR242" s="356" t="str">
        <f>IF(BR243=1, "&lt;===", "")</f>
        <v/>
      </c>
      <c r="BS242" s="594" t="str">
        <f>IF(G233&gt;=9,"Deficient Resource Category #9:", "")</f>
        <v/>
      </c>
      <c r="BT242" s="594"/>
      <c r="BU242" s="594"/>
      <c r="BV242" s="594"/>
      <c r="BW242" s="476"/>
      <c r="BX242" s="476"/>
      <c r="BY242" s="476"/>
      <c r="BZ242" s="476"/>
      <c r="CA242" s="356" t="str">
        <f>IF(CA243=1, "&lt;===", "")</f>
        <v/>
      </c>
      <c r="CB242" s="594" t="str">
        <f>IF(G233&gt;=10,"Deficient Resource Category #10:", "")</f>
        <v/>
      </c>
      <c r="CC242" s="594"/>
      <c r="CD242" s="594"/>
      <c r="CE242" s="594"/>
      <c r="CF242" s="476"/>
      <c r="CG242" s="476"/>
      <c r="CH242" s="476"/>
      <c r="CI242" s="476"/>
      <c r="CJ242" s="356" t="str">
        <f>IF(CJ243=1, "&lt;===", "")</f>
        <v/>
      </c>
      <c r="CK242" s="125"/>
      <c r="CL242" s="125"/>
      <c r="CM242" s="125"/>
      <c r="CN242" s="125"/>
      <c r="CO242" s="125"/>
    </row>
    <row r="243" spans="1:93" s="57" customFormat="1" ht="21" customHeight="1" x14ac:dyDescent="0.25">
      <c r="A243" s="265"/>
      <c r="C243" s="69"/>
      <c r="H243" s="278" t="str">
        <f>IF(AND(G231="No",G233&gt;=1,E242="",D417&lt;&gt;""),1,"")</f>
        <v/>
      </c>
      <c r="I243" s="69"/>
      <c r="O243" s="297" t="str">
        <f>IF(AND(G231="No",G233&gt;=2,L242="",D417&lt;&gt;""), 1, "")</f>
        <v/>
      </c>
      <c r="P243" s="295"/>
      <c r="Q243" s="116"/>
      <c r="R243" s="116"/>
      <c r="S243" s="116"/>
      <c r="T243" s="116"/>
      <c r="U243" s="116"/>
      <c r="V243" s="116"/>
      <c r="W243" s="116"/>
      <c r="X243" s="278" t="str">
        <f>IF(AND(G231="No",G233&gt;=3,T242="",D417&lt;&gt;""), 1, "")</f>
        <v/>
      </c>
      <c r="Y243" s="69"/>
      <c r="Z243" s="116"/>
      <c r="AA243" s="116"/>
      <c r="AB243" s="116"/>
      <c r="AC243" s="116"/>
      <c r="AD243" s="116"/>
      <c r="AE243" s="116"/>
      <c r="AF243" s="116"/>
      <c r="AG243" s="278" t="str">
        <f>IF(AND(G231="No",G233&gt;=4,AC242="",D417&lt;&gt;""), 1, "")</f>
        <v/>
      </c>
      <c r="AH243" s="116"/>
      <c r="AI243" s="69"/>
      <c r="AJ243" s="116"/>
      <c r="AK243" s="116"/>
      <c r="AL243" s="116"/>
      <c r="AM243" s="116"/>
      <c r="AN243" s="116"/>
      <c r="AO243" s="116"/>
      <c r="AP243" s="116"/>
      <c r="AQ243" s="278" t="str">
        <f>IF(AND(G231="No",G233&gt;=5,AC242="",D417&lt;&gt;""), 1, "")</f>
        <v/>
      </c>
      <c r="AR243" s="69"/>
      <c r="AS243" s="116"/>
      <c r="AT243" s="116"/>
      <c r="AU243" s="116"/>
      <c r="AV243" s="116"/>
      <c r="AW243" s="116"/>
      <c r="AX243" s="116"/>
      <c r="AY243" s="116"/>
      <c r="AZ243" s="278" t="str">
        <f>IF(AND(G231="No",G233&gt;=6,AC242="",D417&lt;&gt;""), 1, "")</f>
        <v/>
      </c>
      <c r="BA243" s="69"/>
      <c r="BB243" s="116"/>
      <c r="BC243" s="116"/>
      <c r="BD243" s="116"/>
      <c r="BE243" s="116"/>
      <c r="BF243" s="116"/>
      <c r="BG243" s="116"/>
      <c r="BH243" s="116"/>
      <c r="BI243" s="278" t="str">
        <f>IF(AND(G231="No",G233&gt;=7,AC242="",D417&lt;&gt;""), 1, "")</f>
        <v/>
      </c>
      <c r="BJ243" s="69"/>
      <c r="BK243" s="116"/>
      <c r="BL243" s="116"/>
      <c r="BM243" s="116"/>
      <c r="BN243" s="116"/>
      <c r="BO243" s="116"/>
      <c r="BP243" s="116"/>
      <c r="BQ243" s="116"/>
      <c r="BR243" s="278" t="str">
        <f>IF(AND(G231="No",G233&gt;=8,AC242="",D417&lt;&gt;""), 1, "")</f>
        <v/>
      </c>
      <c r="BS243" s="69"/>
      <c r="BT243" s="116"/>
      <c r="BU243" s="116"/>
      <c r="BV243" s="116"/>
      <c r="BW243" s="116"/>
      <c r="BX243" s="116"/>
      <c r="BY243" s="116"/>
      <c r="BZ243" s="116"/>
      <c r="CA243" s="278" t="str">
        <f>IF(AND(G231="No",G233&gt;=9,AC242="",D417&lt;&gt;""), 1, "")</f>
        <v/>
      </c>
      <c r="CB243" s="69"/>
      <c r="CC243" s="116"/>
      <c r="CD243" s="116"/>
      <c r="CE243" s="116"/>
      <c r="CF243" s="116"/>
      <c r="CG243" s="116"/>
      <c r="CH243" s="116"/>
      <c r="CI243" s="116"/>
      <c r="CJ243" s="278" t="str">
        <f>IF(AND(G231="No",G233&gt;=10,AC242="",D417&lt;&gt;""), 1, "")</f>
        <v/>
      </c>
      <c r="CK243" s="116"/>
      <c r="CL243" s="116"/>
      <c r="CM243" s="116"/>
      <c r="CN243" s="116"/>
      <c r="CO243" s="116"/>
    </row>
    <row r="244" spans="1:93" s="57" customFormat="1" ht="15.75" x14ac:dyDescent="0.25">
      <c r="A244" s="265"/>
      <c r="C244" s="69" t="str">
        <f>IF(G233&gt;=1,"Provide a detailed ANALYSIS for category #1 in the box below","")</f>
        <v/>
      </c>
      <c r="I244" s="69" t="str">
        <f>IF(G233&gt;=2,"Provide a detailed ANALYSIS for category #2 in the box below","")</f>
        <v/>
      </c>
      <c r="P244" s="295" t="str">
        <f>IF(G233&gt;=3,"Provide a detailed ANALYSIS for category #3 in the box below","")</f>
        <v/>
      </c>
      <c r="Q244" s="116"/>
      <c r="R244" s="116"/>
      <c r="S244" s="116"/>
      <c r="T244" s="116"/>
      <c r="U244" s="116"/>
      <c r="V244" s="116"/>
      <c r="W244" s="116"/>
      <c r="X244" s="116"/>
      <c r="Y244" s="69" t="str">
        <f>IF(G233&gt;=4,"Provide a detailed ANALYSIS for category #4 in the box below","")</f>
        <v/>
      </c>
      <c r="Z244" s="116"/>
      <c r="AA244" s="116"/>
      <c r="AB244" s="116"/>
      <c r="AC244" s="116"/>
      <c r="AD244" s="116"/>
      <c r="AE244" s="116"/>
      <c r="AF244" s="116"/>
      <c r="AG244" s="116"/>
      <c r="AH244" s="116"/>
      <c r="AI244" s="69" t="str">
        <f>IF(G233&gt;=5,"Provide a detailed ANALYSIS for category #5 in the box below","")</f>
        <v/>
      </c>
      <c r="AJ244" s="116"/>
      <c r="AK244" s="116"/>
      <c r="AL244" s="116"/>
      <c r="AM244" s="116"/>
      <c r="AN244" s="116"/>
      <c r="AO244" s="116"/>
      <c r="AP244" s="116"/>
      <c r="AQ244" s="116"/>
      <c r="AR244" s="69" t="str">
        <f>IF(G233&gt;=6,"Provide a detailed ANALYSIS for category #6 in the box below","")</f>
        <v/>
      </c>
      <c r="AS244" s="116"/>
      <c r="AT244" s="116"/>
      <c r="AU244" s="116"/>
      <c r="AV244" s="116"/>
      <c r="AW244" s="116"/>
      <c r="AX244" s="116"/>
      <c r="AY244" s="116"/>
      <c r="AZ244" s="116"/>
      <c r="BA244" s="69" t="str">
        <f>IF(G233&gt;=7,"Provide a detailed ANALYSIS for category #7 in the box below","")</f>
        <v/>
      </c>
      <c r="BB244" s="116"/>
      <c r="BC244" s="116"/>
      <c r="BD244" s="116"/>
      <c r="BE244" s="116"/>
      <c r="BF244" s="116"/>
      <c r="BG244" s="116"/>
      <c r="BH244" s="116"/>
      <c r="BI244" s="116"/>
      <c r="BJ244" s="69" t="str">
        <f>IF(G233&gt;=8,"Provide a detailed ANALYSIS for category #8 in the box below","")</f>
        <v/>
      </c>
      <c r="BK244" s="116"/>
      <c r="BL244" s="116"/>
      <c r="BM244" s="116"/>
      <c r="BN244" s="116"/>
      <c r="BO244" s="116"/>
      <c r="BP244" s="116"/>
      <c r="BQ244" s="116"/>
      <c r="BR244" s="116"/>
      <c r="BS244" s="69" t="str">
        <f>IF(G233&gt;=9,"Provide a detailed ANALYSIS for category #9 in the box below","")</f>
        <v/>
      </c>
      <c r="BT244" s="116"/>
      <c r="BU244" s="116"/>
      <c r="BV244" s="116"/>
      <c r="BW244" s="116"/>
      <c r="BX244" s="116"/>
      <c r="BY244" s="116"/>
      <c r="BZ244" s="116"/>
      <c r="CA244" s="116"/>
      <c r="CB244" s="69" t="str">
        <f>IF(G233&gt;=10,"Provide a detailed ANALYSIS for category #10 in the box below","")</f>
        <v/>
      </c>
      <c r="CC244" s="116"/>
      <c r="CD244" s="116"/>
      <c r="CE244" s="116"/>
      <c r="CF244" s="116"/>
      <c r="CG244" s="116"/>
      <c r="CH244" s="116"/>
      <c r="CI244" s="116"/>
      <c r="CJ244" s="116"/>
      <c r="CK244" s="116"/>
      <c r="CL244" s="116"/>
      <c r="CM244" s="116"/>
      <c r="CN244" s="116"/>
      <c r="CO244" s="116"/>
    </row>
    <row r="245" spans="1:93" s="57" customFormat="1" ht="12" customHeight="1" x14ac:dyDescent="0.25">
      <c r="A245" s="265"/>
      <c r="C245" s="402"/>
      <c r="D245" s="402"/>
      <c r="E245" s="402"/>
      <c r="F245" s="402"/>
      <c r="G245" s="402"/>
      <c r="H245" s="423" t="str">
        <f>IF(H247=1, "&lt;===", "")</f>
        <v/>
      </c>
      <c r="I245" s="402"/>
      <c r="J245" s="402"/>
      <c r="K245" s="402"/>
      <c r="L245" s="402"/>
      <c r="M245" s="402"/>
      <c r="N245" s="402"/>
      <c r="O245" s="423" t="str">
        <f>IF(O247=1, "&lt;===", "")</f>
        <v/>
      </c>
      <c r="P245" s="402"/>
      <c r="Q245" s="402"/>
      <c r="R245" s="402"/>
      <c r="S245" s="402"/>
      <c r="T245" s="402"/>
      <c r="U245" s="402"/>
      <c r="V245" s="402"/>
      <c r="W245" s="402"/>
      <c r="X245" s="423" t="str">
        <f>IF(X247=1, "&lt;===", "")</f>
        <v/>
      </c>
      <c r="Y245" s="402"/>
      <c r="Z245" s="402"/>
      <c r="AA245" s="402"/>
      <c r="AB245" s="402"/>
      <c r="AC245" s="402"/>
      <c r="AD245" s="402"/>
      <c r="AE245" s="402"/>
      <c r="AF245" s="402"/>
      <c r="AG245" s="423" t="str">
        <f>IF(AG247=1, "&lt;===", "")</f>
        <v/>
      </c>
      <c r="AH245" s="135"/>
      <c r="AI245" s="416"/>
      <c r="AJ245" s="416"/>
      <c r="AK245" s="416"/>
      <c r="AL245" s="416"/>
      <c r="AM245" s="416"/>
      <c r="AN245" s="416"/>
      <c r="AO245" s="416"/>
      <c r="AP245" s="416"/>
      <c r="AQ245" s="423" t="str">
        <f>IF(AQ247=1, "&lt;===", "")</f>
        <v/>
      </c>
      <c r="AR245" s="416"/>
      <c r="AS245" s="416"/>
      <c r="AT245" s="416"/>
      <c r="AU245" s="416"/>
      <c r="AV245" s="416"/>
      <c r="AW245" s="416"/>
      <c r="AX245" s="416"/>
      <c r="AY245" s="416"/>
      <c r="AZ245" s="414" t="str">
        <f>IF(AZ247=1, "&lt;===", "")</f>
        <v/>
      </c>
      <c r="BA245" s="416"/>
      <c r="BB245" s="416"/>
      <c r="BC245" s="416"/>
      <c r="BD245" s="416"/>
      <c r="BE245" s="416"/>
      <c r="BF245" s="416"/>
      <c r="BG245" s="416"/>
      <c r="BH245" s="416"/>
      <c r="BI245" s="423" t="str">
        <f>IF(BI247=1, "&lt;===", "")</f>
        <v/>
      </c>
      <c r="BJ245" s="416"/>
      <c r="BK245" s="416"/>
      <c r="BL245" s="416"/>
      <c r="BM245" s="416"/>
      <c r="BN245" s="416"/>
      <c r="BO245" s="416"/>
      <c r="BP245" s="416"/>
      <c r="BQ245" s="416"/>
      <c r="BR245" s="414" t="str">
        <f>IF(BR247=1, "&lt;===", "")</f>
        <v/>
      </c>
      <c r="BS245" s="416"/>
      <c r="BT245" s="416"/>
      <c r="BU245" s="416"/>
      <c r="BV245" s="416"/>
      <c r="BW245" s="416"/>
      <c r="BX245" s="416"/>
      <c r="BY245" s="416"/>
      <c r="BZ245" s="416"/>
      <c r="CA245" s="423" t="str">
        <f>IF(CA247=1, "&lt;===", "")</f>
        <v/>
      </c>
      <c r="CB245" s="416"/>
      <c r="CC245" s="416"/>
      <c r="CD245" s="416"/>
      <c r="CE245" s="416"/>
      <c r="CF245" s="416"/>
      <c r="CG245" s="416"/>
      <c r="CH245" s="416"/>
      <c r="CI245" s="416"/>
      <c r="CJ245" s="423" t="str">
        <f>IF(CJ247=1, "&lt;===", "")</f>
        <v/>
      </c>
      <c r="CK245" s="152"/>
      <c r="CL245" s="152"/>
      <c r="CM245" s="152"/>
      <c r="CN245" s="152"/>
      <c r="CO245" s="152"/>
    </row>
    <row r="246" spans="1:93" s="57" customFormat="1" ht="12" customHeight="1" x14ac:dyDescent="0.25">
      <c r="A246" s="265"/>
      <c r="C246" s="402"/>
      <c r="D246" s="402"/>
      <c r="E246" s="402"/>
      <c r="F246" s="402"/>
      <c r="G246" s="402"/>
      <c r="H246" s="423"/>
      <c r="I246" s="402"/>
      <c r="J246" s="402"/>
      <c r="K246" s="402"/>
      <c r="L246" s="402"/>
      <c r="M246" s="402"/>
      <c r="N246" s="402"/>
      <c r="O246" s="423"/>
      <c r="P246" s="402"/>
      <c r="Q246" s="402"/>
      <c r="R246" s="402"/>
      <c r="S246" s="402"/>
      <c r="T246" s="402"/>
      <c r="U246" s="402"/>
      <c r="V246" s="402"/>
      <c r="W246" s="402"/>
      <c r="X246" s="423"/>
      <c r="Y246" s="402"/>
      <c r="Z246" s="402"/>
      <c r="AA246" s="402"/>
      <c r="AB246" s="402"/>
      <c r="AC246" s="402"/>
      <c r="AD246" s="402"/>
      <c r="AE246" s="402"/>
      <c r="AF246" s="402"/>
      <c r="AG246" s="423"/>
      <c r="AH246" s="135"/>
      <c r="AI246" s="416"/>
      <c r="AJ246" s="416"/>
      <c r="AK246" s="416"/>
      <c r="AL246" s="416"/>
      <c r="AM246" s="416"/>
      <c r="AN246" s="416"/>
      <c r="AO246" s="416"/>
      <c r="AP246" s="416"/>
      <c r="AQ246" s="423"/>
      <c r="AR246" s="416"/>
      <c r="AS246" s="416"/>
      <c r="AT246" s="416"/>
      <c r="AU246" s="416"/>
      <c r="AV246" s="416"/>
      <c r="AW246" s="416"/>
      <c r="AX246" s="416"/>
      <c r="AY246" s="416"/>
      <c r="AZ246" s="414"/>
      <c r="BA246" s="416"/>
      <c r="BB246" s="416"/>
      <c r="BC246" s="416"/>
      <c r="BD246" s="416"/>
      <c r="BE246" s="416"/>
      <c r="BF246" s="416"/>
      <c r="BG246" s="416"/>
      <c r="BH246" s="416"/>
      <c r="BI246" s="423"/>
      <c r="BJ246" s="416"/>
      <c r="BK246" s="416"/>
      <c r="BL246" s="416"/>
      <c r="BM246" s="416"/>
      <c r="BN246" s="416"/>
      <c r="BO246" s="416"/>
      <c r="BP246" s="416"/>
      <c r="BQ246" s="416"/>
      <c r="BR246" s="414"/>
      <c r="BS246" s="416"/>
      <c r="BT246" s="416"/>
      <c r="BU246" s="416"/>
      <c r="BV246" s="416"/>
      <c r="BW246" s="416"/>
      <c r="BX246" s="416"/>
      <c r="BY246" s="416"/>
      <c r="BZ246" s="416"/>
      <c r="CA246" s="423"/>
      <c r="CB246" s="416"/>
      <c r="CC246" s="416"/>
      <c r="CD246" s="416"/>
      <c r="CE246" s="416"/>
      <c r="CF246" s="416"/>
      <c r="CG246" s="416"/>
      <c r="CH246" s="416"/>
      <c r="CI246" s="416"/>
      <c r="CJ246" s="423"/>
      <c r="CK246" s="152"/>
      <c r="CL246" s="152"/>
      <c r="CM246" s="152"/>
      <c r="CN246" s="152"/>
      <c r="CO246" s="152"/>
    </row>
    <row r="247" spans="1:93" s="57" customFormat="1" ht="12" customHeight="1" x14ac:dyDescent="0.25">
      <c r="A247" s="265"/>
      <c r="C247" s="402"/>
      <c r="D247" s="402"/>
      <c r="E247" s="402"/>
      <c r="F247" s="402"/>
      <c r="G247" s="402"/>
      <c r="H247" s="368" t="str">
        <f>IF(AND(G231="No",G233&gt;=1,C245="",D417&lt;&gt;""),1,"")</f>
        <v/>
      </c>
      <c r="I247" s="402"/>
      <c r="J247" s="402"/>
      <c r="K247" s="402"/>
      <c r="L247" s="402"/>
      <c r="M247" s="402"/>
      <c r="N247" s="402"/>
      <c r="O247" s="367" t="str">
        <f>IF(AND(G231="No",G233&gt;=2,I245="",D417&lt;&gt;""),1,"")</f>
        <v/>
      </c>
      <c r="P247" s="402"/>
      <c r="Q247" s="402"/>
      <c r="R247" s="402"/>
      <c r="S247" s="402"/>
      <c r="T247" s="402"/>
      <c r="U247" s="402"/>
      <c r="V247" s="402"/>
      <c r="W247" s="402"/>
      <c r="X247" s="367" t="str">
        <f>IF(AND(G231="No",G233&gt;=3,P245="",D417&lt;&gt;""),1,"")</f>
        <v/>
      </c>
      <c r="Y247" s="402"/>
      <c r="Z247" s="402"/>
      <c r="AA247" s="402"/>
      <c r="AB247" s="402"/>
      <c r="AC247" s="402"/>
      <c r="AD247" s="402"/>
      <c r="AE247" s="402"/>
      <c r="AF247" s="402"/>
      <c r="AG247" s="367" t="str">
        <f>IF(AND(G231="No",G233&gt;=4,Y245="",D417&lt;&gt;""),1,"")</f>
        <v/>
      </c>
      <c r="AH247" s="135"/>
      <c r="AI247" s="416"/>
      <c r="AJ247" s="416"/>
      <c r="AK247" s="416"/>
      <c r="AL247" s="416"/>
      <c r="AM247" s="416"/>
      <c r="AN247" s="416"/>
      <c r="AO247" s="416"/>
      <c r="AP247" s="416"/>
      <c r="AQ247" s="367" t="str">
        <f>IF(AND(G231="No",G233&gt;=5,AI245="",D417&lt;&gt;""),1,"")</f>
        <v/>
      </c>
      <c r="AR247" s="416"/>
      <c r="AS247" s="416"/>
      <c r="AT247" s="416"/>
      <c r="AU247" s="416"/>
      <c r="AV247" s="416"/>
      <c r="AW247" s="416"/>
      <c r="AX247" s="416"/>
      <c r="AY247" s="416"/>
      <c r="AZ247" s="278" t="str">
        <f>IF(AND(G231="No",G233&gt;=6,AR245="",D417&lt;&gt;""),1,"")</f>
        <v/>
      </c>
      <c r="BA247" s="416"/>
      <c r="BB247" s="416"/>
      <c r="BC247" s="416"/>
      <c r="BD247" s="416"/>
      <c r="BE247" s="416"/>
      <c r="BF247" s="416"/>
      <c r="BG247" s="416"/>
      <c r="BH247" s="416"/>
      <c r="BI247" s="367" t="str">
        <f>IF(AND(G231="No",G233&gt;=7,BA245="",D417&lt;&gt;""),1,"")</f>
        <v/>
      </c>
      <c r="BJ247" s="416"/>
      <c r="BK247" s="416"/>
      <c r="BL247" s="416"/>
      <c r="BM247" s="416"/>
      <c r="BN247" s="416"/>
      <c r="BO247" s="416"/>
      <c r="BP247" s="416"/>
      <c r="BQ247" s="416"/>
      <c r="BR247" s="278" t="str">
        <f>IF(AND(G231="No",G233&gt;=8,BJ245="",D417&lt;&gt;""),1,"")</f>
        <v/>
      </c>
      <c r="BS247" s="416"/>
      <c r="BT247" s="416"/>
      <c r="BU247" s="416"/>
      <c r="BV247" s="416"/>
      <c r="BW247" s="416"/>
      <c r="BX247" s="416"/>
      <c r="BY247" s="416"/>
      <c r="BZ247" s="416"/>
      <c r="CA247" s="367" t="str">
        <f>IF(AND(G231="No",G233&gt;=9,BS245="",D417&lt;&gt;""),1,"")</f>
        <v/>
      </c>
      <c r="CB247" s="416"/>
      <c r="CC247" s="416"/>
      <c r="CD247" s="416"/>
      <c r="CE247" s="416"/>
      <c r="CF247" s="416"/>
      <c r="CG247" s="416"/>
      <c r="CH247" s="416"/>
      <c r="CI247" s="416"/>
      <c r="CJ247" s="367" t="str">
        <f>IF(AND(G231="No",G233&gt;=10,CB245="",D417&lt;&gt;""),1,"")</f>
        <v/>
      </c>
      <c r="CK247" s="152"/>
      <c r="CL247" s="152"/>
      <c r="CM247" s="152"/>
      <c r="CN247" s="152"/>
      <c r="CO247" s="152"/>
    </row>
    <row r="248" spans="1:93" s="57" customFormat="1" ht="12" customHeight="1" x14ac:dyDescent="0.25">
      <c r="A248" s="265"/>
      <c r="C248" s="402"/>
      <c r="D248" s="402"/>
      <c r="E248" s="402"/>
      <c r="F248" s="402"/>
      <c r="G248" s="402"/>
      <c r="H248" s="135"/>
      <c r="I248" s="402"/>
      <c r="J248" s="402"/>
      <c r="K248" s="402"/>
      <c r="L248" s="402"/>
      <c r="M248" s="402"/>
      <c r="N248" s="402"/>
      <c r="O248" s="135"/>
      <c r="P248" s="402"/>
      <c r="Q248" s="402"/>
      <c r="R248" s="402"/>
      <c r="S248" s="402"/>
      <c r="T248" s="402"/>
      <c r="U248" s="402"/>
      <c r="V248" s="402"/>
      <c r="W248" s="402"/>
      <c r="X248" s="135"/>
      <c r="Y248" s="402"/>
      <c r="Z248" s="402"/>
      <c r="AA248" s="402"/>
      <c r="AB248" s="402"/>
      <c r="AC248" s="402"/>
      <c r="AD248" s="402"/>
      <c r="AE248" s="402"/>
      <c r="AF248" s="402"/>
      <c r="AG248" s="135"/>
      <c r="AH248" s="135"/>
      <c r="AI248" s="416"/>
      <c r="AJ248" s="416"/>
      <c r="AK248" s="416"/>
      <c r="AL248" s="416"/>
      <c r="AM248" s="416"/>
      <c r="AN248" s="416"/>
      <c r="AO248" s="416"/>
      <c r="AP248" s="416"/>
      <c r="AQ248" s="152"/>
      <c r="AR248" s="416"/>
      <c r="AS248" s="416"/>
      <c r="AT248" s="416"/>
      <c r="AU248" s="416"/>
      <c r="AV248" s="416"/>
      <c r="AW248" s="416"/>
      <c r="AX248" s="416"/>
      <c r="AY248" s="416"/>
      <c r="AZ248" s="116"/>
      <c r="BA248" s="416"/>
      <c r="BB248" s="416"/>
      <c r="BC248" s="416"/>
      <c r="BD248" s="416"/>
      <c r="BE248" s="416"/>
      <c r="BF248" s="416"/>
      <c r="BG248" s="416"/>
      <c r="BH248" s="416"/>
      <c r="BI248" s="152"/>
      <c r="BJ248" s="416"/>
      <c r="BK248" s="416"/>
      <c r="BL248" s="416"/>
      <c r="BM248" s="416"/>
      <c r="BN248" s="416"/>
      <c r="BO248" s="416"/>
      <c r="BP248" s="416"/>
      <c r="BQ248" s="416"/>
      <c r="BR248" s="116"/>
      <c r="BS248" s="416"/>
      <c r="BT248" s="416"/>
      <c r="BU248" s="416"/>
      <c r="BV248" s="416"/>
      <c r="BW248" s="416"/>
      <c r="BX248" s="416"/>
      <c r="BY248" s="416"/>
      <c r="BZ248" s="416"/>
      <c r="CA248" s="152"/>
      <c r="CB248" s="416"/>
      <c r="CC248" s="416"/>
      <c r="CD248" s="416"/>
      <c r="CE248" s="416"/>
      <c r="CF248" s="416"/>
      <c r="CG248" s="416"/>
      <c r="CH248" s="416"/>
      <c r="CI248" s="416"/>
      <c r="CJ248" s="152"/>
      <c r="CK248" s="152"/>
      <c r="CL248" s="152"/>
      <c r="CM248" s="152"/>
      <c r="CN248" s="152"/>
      <c r="CO248" s="152"/>
    </row>
    <row r="249" spans="1:93" s="57" customFormat="1" ht="12" customHeight="1" x14ac:dyDescent="0.25">
      <c r="A249" s="265"/>
      <c r="C249" s="402"/>
      <c r="D249" s="402"/>
      <c r="E249" s="402"/>
      <c r="F249" s="402"/>
      <c r="G249" s="402"/>
      <c r="H249" s="135"/>
      <c r="I249" s="402"/>
      <c r="J249" s="402"/>
      <c r="K249" s="402"/>
      <c r="L249" s="402"/>
      <c r="M249" s="402"/>
      <c r="N249" s="402"/>
      <c r="O249" s="135"/>
      <c r="P249" s="402"/>
      <c r="Q249" s="402"/>
      <c r="R249" s="402"/>
      <c r="S249" s="402"/>
      <c r="T249" s="402"/>
      <c r="U249" s="402"/>
      <c r="V249" s="402"/>
      <c r="W249" s="402"/>
      <c r="X249" s="135"/>
      <c r="Y249" s="402"/>
      <c r="Z249" s="402"/>
      <c r="AA249" s="402"/>
      <c r="AB249" s="402"/>
      <c r="AC249" s="402"/>
      <c r="AD249" s="402"/>
      <c r="AE249" s="402"/>
      <c r="AF249" s="402"/>
      <c r="AG249" s="135"/>
      <c r="AH249" s="135"/>
      <c r="AI249" s="416"/>
      <c r="AJ249" s="416"/>
      <c r="AK249" s="416"/>
      <c r="AL249" s="416"/>
      <c r="AM249" s="416"/>
      <c r="AN249" s="416"/>
      <c r="AO249" s="416"/>
      <c r="AP249" s="416"/>
      <c r="AQ249" s="152"/>
      <c r="AR249" s="416"/>
      <c r="AS249" s="416"/>
      <c r="AT249" s="416"/>
      <c r="AU249" s="416"/>
      <c r="AV249" s="416"/>
      <c r="AW249" s="416"/>
      <c r="AX249" s="416"/>
      <c r="AY249" s="416"/>
      <c r="AZ249" s="116"/>
      <c r="BA249" s="416"/>
      <c r="BB249" s="416"/>
      <c r="BC249" s="416"/>
      <c r="BD249" s="416"/>
      <c r="BE249" s="416"/>
      <c r="BF249" s="416"/>
      <c r="BG249" s="416"/>
      <c r="BH249" s="416"/>
      <c r="BI249" s="152"/>
      <c r="BJ249" s="416"/>
      <c r="BK249" s="416"/>
      <c r="BL249" s="416"/>
      <c r="BM249" s="416"/>
      <c r="BN249" s="416"/>
      <c r="BO249" s="416"/>
      <c r="BP249" s="416"/>
      <c r="BQ249" s="416"/>
      <c r="BR249" s="116"/>
      <c r="BS249" s="416"/>
      <c r="BT249" s="416"/>
      <c r="BU249" s="416"/>
      <c r="BV249" s="416"/>
      <c r="BW249" s="416"/>
      <c r="BX249" s="416"/>
      <c r="BY249" s="416"/>
      <c r="BZ249" s="416"/>
      <c r="CA249" s="152"/>
      <c r="CB249" s="416"/>
      <c r="CC249" s="416"/>
      <c r="CD249" s="416"/>
      <c r="CE249" s="416"/>
      <c r="CF249" s="416"/>
      <c r="CG249" s="416"/>
      <c r="CH249" s="416"/>
      <c r="CI249" s="416"/>
      <c r="CJ249" s="152"/>
      <c r="CK249" s="152"/>
      <c r="CL249" s="152"/>
      <c r="CM249" s="152"/>
      <c r="CN249" s="152"/>
      <c r="CO249" s="152"/>
    </row>
    <row r="250" spans="1:93" s="57" customFormat="1" ht="12" customHeight="1" x14ac:dyDescent="0.25">
      <c r="A250" s="265"/>
      <c r="C250" s="402"/>
      <c r="D250" s="402"/>
      <c r="E250" s="402"/>
      <c r="F250" s="402"/>
      <c r="G250" s="402"/>
      <c r="H250" s="135"/>
      <c r="I250" s="402"/>
      <c r="J250" s="402"/>
      <c r="K250" s="402"/>
      <c r="L250" s="402"/>
      <c r="M250" s="402"/>
      <c r="N250" s="402"/>
      <c r="O250" s="135"/>
      <c r="P250" s="402"/>
      <c r="Q250" s="402"/>
      <c r="R250" s="402"/>
      <c r="S250" s="402"/>
      <c r="T250" s="402"/>
      <c r="U250" s="402"/>
      <c r="V250" s="402"/>
      <c r="W250" s="402"/>
      <c r="X250" s="135"/>
      <c r="Y250" s="402"/>
      <c r="Z250" s="402"/>
      <c r="AA250" s="402"/>
      <c r="AB250" s="402"/>
      <c r="AC250" s="402"/>
      <c r="AD250" s="402"/>
      <c r="AE250" s="402"/>
      <c r="AF250" s="402"/>
      <c r="AG250" s="135"/>
      <c r="AH250" s="135"/>
      <c r="AI250" s="416"/>
      <c r="AJ250" s="416"/>
      <c r="AK250" s="416"/>
      <c r="AL250" s="416"/>
      <c r="AM250" s="416"/>
      <c r="AN250" s="416"/>
      <c r="AO250" s="416"/>
      <c r="AP250" s="416"/>
      <c r="AQ250" s="152"/>
      <c r="AR250" s="416"/>
      <c r="AS250" s="416"/>
      <c r="AT250" s="416"/>
      <c r="AU250" s="416"/>
      <c r="AV250" s="416"/>
      <c r="AW250" s="416"/>
      <c r="AX250" s="416"/>
      <c r="AY250" s="416"/>
      <c r="AZ250" s="116"/>
      <c r="BA250" s="416"/>
      <c r="BB250" s="416"/>
      <c r="BC250" s="416"/>
      <c r="BD250" s="416"/>
      <c r="BE250" s="416"/>
      <c r="BF250" s="416"/>
      <c r="BG250" s="416"/>
      <c r="BH250" s="416"/>
      <c r="BI250" s="152"/>
      <c r="BJ250" s="416"/>
      <c r="BK250" s="416"/>
      <c r="BL250" s="416"/>
      <c r="BM250" s="416"/>
      <c r="BN250" s="416"/>
      <c r="BO250" s="416"/>
      <c r="BP250" s="416"/>
      <c r="BQ250" s="416"/>
      <c r="BR250" s="116"/>
      <c r="BS250" s="416"/>
      <c r="BT250" s="416"/>
      <c r="BU250" s="416"/>
      <c r="BV250" s="416"/>
      <c r="BW250" s="416"/>
      <c r="BX250" s="416"/>
      <c r="BY250" s="416"/>
      <c r="BZ250" s="416"/>
      <c r="CA250" s="152"/>
      <c r="CB250" s="416"/>
      <c r="CC250" s="416"/>
      <c r="CD250" s="416"/>
      <c r="CE250" s="416"/>
      <c r="CF250" s="416"/>
      <c r="CG250" s="416"/>
      <c r="CH250" s="416"/>
      <c r="CI250" s="416"/>
      <c r="CJ250" s="152"/>
      <c r="CK250" s="152"/>
      <c r="CL250" s="152"/>
      <c r="CM250" s="152"/>
      <c r="CN250" s="152"/>
      <c r="CO250" s="152"/>
    </row>
    <row r="251" spans="1:93" s="57" customFormat="1" ht="12" customHeight="1" x14ac:dyDescent="0.25">
      <c r="A251" s="265"/>
      <c r="C251" s="402"/>
      <c r="D251" s="402"/>
      <c r="E251" s="402"/>
      <c r="F251" s="402"/>
      <c r="G251" s="402"/>
      <c r="H251" s="135"/>
      <c r="I251" s="402"/>
      <c r="J251" s="402"/>
      <c r="K251" s="402"/>
      <c r="L251" s="402"/>
      <c r="M251" s="402"/>
      <c r="N251" s="402"/>
      <c r="O251" s="135"/>
      <c r="P251" s="402"/>
      <c r="Q251" s="402"/>
      <c r="R251" s="402"/>
      <c r="S251" s="402"/>
      <c r="T251" s="402"/>
      <c r="U251" s="402"/>
      <c r="V251" s="402"/>
      <c r="W251" s="402"/>
      <c r="X251" s="135"/>
      <c r="Y251" s="402"/>
      <c r="Z251" s="402"/>
      <c r="AA251" s="402"/>
      <c r="AB251" s="402"/>
      <c r="AC251" s="402"/>
      <c r="AD251" s="402"/>
      <c r="AE251" s="402"/>
      <c r="AF251" s="402"/>
      <c r="AG251" s="135"/>
      <c r="AH251" s="135"/>
      <c r="AI251" s="416"/>
      <c r="AJ251" s="416"/>
      <c r="AK251" s="416"/>
      <c r="AL251" s="416"/>
      <c r="AM251" s="416"/>
      <c r="AN251" s="416"/>
      <c r="AO251" s="416"/>
      <c r="AP251" s="416"/>
      <c r="AQ251" s="152"/>
      <c r="AR251" s="416"/>
      <c r="AS251" s="416"/>
      <c r="AT251" s="416"/>
      <c r="AU251" s="416"/>
      <c r="AV251" s="416"/>
      <c r="AW251" s="416"/>
      <c r="AX251" s="416"/>
      <c r="AY251" s="416"/>
      <c r="AZ251" s="116"/>
      <c r="BA251" s="416"/>
      <c r="BB251" s="416"/>
      <c r="BC251" s="416"/>
      <c r="BD251" s="416"/>
      <c r="BE251" s="416"/>
      <c r="BF251" s="416"/>
      <c r="BG251" s="416"/>
      <c r="BH251" s="416"/>
      <c r="BI251" s="152"/>
      <c r="BJ251" s="416"/>
      <c r="BK251" s="416"/>
      <c r="BL251" s="416"/>
      <c r="BM251" s="416"/>
      <c r="BN251" s="416"/>
      <c r="BO251" s="416"/>
      <c r="BP251" s="416"/>
      <c r="BQ251" s="416"/>
      <c r="BR251" s="116"/>
      <c r="BS251" s="416"/>
      <c r="BT251" s="416"/>
      <c r="BU251" s="416"/>
      <c r="BV251" s="416"/>
      <c r="BW251" s="416"/>
      <c r="BX251" s="416"/>
      <c r="BY251" s="416"/>
      <c r="BZ251" s="416"/>
      <c r="CA251" s="152"/>
      <c r="CB251" s="416"/>
      <c r="CC251" s="416"/>
      <c r="CD251" s="416"/>
      <c r="CE251" s="416"/>
      <c r="CF251" s="416"/>
      <c r="CG251" s="416"/>
      <c r="CH251" s="416"/>
      <c r="CI251" s="416"/>
      <c r="CJ251" s="152"/>
      <c r="CK251" s="152"/>
      <c r="CL251" s="152"/>
      <c r="CM251" s="152"/>
      <c r="CN251" s="152"/>
      <c r="CO251" s="152"/>
    </row>
    <row r="252" spans="1:93" s="57" customFormat="1" ht="12" customHeight="1" x14ac:dyDescent="0.25">
      <c r="A252" s="265"/>
      <c r="C252" s="402"/>
      <c r="D252" s="402"/>
      <c r="E252" s="402"/>
      <c r="F252" s="402"/>
      <c r="G252" s="402"/>
      <c r="H252" s="135"/>
      <c r="I252" s="402"/>
      <c r="J252" s="402"/>
      <c r="K252" s="402"/>
      <c r="L252" s="402"/>
      <c r="M252" s="402"/>
      <c r="N252" s="402"/>
      <c r="O252" s="135"/>
      <c r="P252" s="402"/>
      <c r="Q252" s="402"/>
      <c r="R252" s="402"/>
      <c r="S252" s="402"/>
      <c r="T252" s="402"/>
      <c r="U252" s="402"/>
      <c r="V252" s="402"/>
      <c r="W252" s="402"/>
      <c r="X252" s="135"/>
      <c r="Y252" s="402"/>
      <c r="Z252" s="402"/>
      <c r="AA252" s="402"/>
      <c r="AB252" s="402"/>
      <c r="AC252" s="402"/>
      <c r="AD252" s="402"/>
      <c r="AE252" s="402"/>
      <c r="AF252" s="402"/>
      <c r="AG252" s="135"/>
      <c r="AH252" s="135"/>
      <c r="AI252" s="416"/>
      <c r="AJ252" s="416"/>
      <c r="AK252" s="416"/>
      <c r="AL252" s="416"/>
      <c r="AM252" s="416"/>
      <c r="AN252" s="416"/>
      <c r="AO252" s="416"/>
      <c r="AP252" s="416"/>
      <c r="AQ252" s="152"/>
      <c r="AR252" s="416"/>
      <c r="AS252" s="416"/>
      <c r="AT252" s="416"/>
      <c r="AU252" s="416"/>
      <c r="AV252" s="416"/>
      <c r="AW252" s="416"/>
      <c r="AX252" s="416"/>
      <c r="AY252" s="416"/>
      <c r="AZ252" s="116"/>
      <c r="BA252" s="416"/>
      <c r="BB252" s="416"/>
      <c r="BC252" s="416"/>
      <c r="BD252" s="416"/>
      <c r="BE252" s="416"/>
      <c r="BF252" s="416"/>
      <c r="BG252" s="416"/>
      <c r="BH252" s="416"/>
      <c r="BI252" s="152"/>
      <c r="BJ252" s="416"/>
      <c r="BK252" s="416"/>
      <c r="BL252" s="416"/>
      <c r="BM252" s="416"/>
      <c r="BN252" s="416"/>
      <c r="BO252" s="416"/>
      <c r="BP252" s="416"/>
      <c r="BQ252" s="416"/>
      <c r="BR252" s="116"/>
      <c r="BS252" s="416"/>
      <c r="BT252" s="416"/>
      <c r="BU252" s="416"/>
      <c r="BV252" s="416"/>
      <c r="BW252" s="416"/>
      <c r="BX252" s="416"/>
      <c r="BY252" s="416"/>
      <c r="BZ252" s="416"/>
      <c r="CA252" s="152"/>
      <c r="CB252" s="416"/>
      <c r="CC252" s="416"/>
      <c r="CD252" s="416"/>
      <c r="CE252" s="416"/>
      <c r="CF252" s="416"/>
      <c r="CG252" s="416"/>
      <c r="CH252" s="416"/>
      <c r="CI252" s="416"/>
      <c r="CJ252" s="152"/>
      <c r="CK252" s="152"/>
      <c r="CL252" s="152"/>
      <c r="CM252" s="152"/>
      <c r="CN252" s="152"/>
      <c r="CO252" s="152"/>
    </row>
    <row r="253" spans="1:93" s="57" customFormat="1" ht="12" customHeight="1" x14ac:dyDescent="0.25">
      <c r="A253" s="265"/>
      <c r="C253" s="402"/>
      <c r="D253" s="402"/>
      <c r="E253" s="402"/>
      <c r="F253" s="402"/>
      <c r="G253" s="402"/>
      <c r="H253" s="135"/>
      <c r="I253" s="402"/>
      <c r="J253" s="402"/>
      <c r="K253" s="402"/>
      <c r="L253" s="402"/>
      <c r="M253" s="402"/>
      <c r="N253" s="402"/>
      <c r="O253" s="135"/>
      <c r="P253" s="402"/>
      <c r="Q253" s="402"/>
      <c r="R253" s="402"/>
      <c r="S253" s="402"/>
      <c r="T253" s="402"/>
      <c r="U253" s="402"/>
      <c r="V253" s="402"/>
      <c r="W253" s="402"/>
      <c r="X253" s="135"/>
      <c r="Y253" s="402"/>
      <c r="Z253" s="402"/>
      <c r="AA253" s="402"/>
      <c r="AB253" s="402"/>
      <c r="AC253" s="402"/>
      <c r="AD253" s="402"/>
      <c r="AE253" s="402"/>
      <c r="AF253" s="402"/>
      <c r="AG253" s="135"/>
      <c r="AH253" s="135"/>
      <c r="AI253" s="416"/>
      <c r="AJ253" s="416"/>
      <c r="AK253" s="416"/>
      <c r="AL253" s="416"/>
      <c r="AM253" s="416"/>
      <c r="AN253" s="416"/>
      <c r="AO253" s="416"/>
      <c r="AP253" s="416"/>
      <c r="AQ253" s="152"/>
      <c r="AR253" s="416"/>
      <c r="AS253" s="416"/>
      <c r="AT253" s="416"/>
      <c r="AU253" s="416"/>
      <c r="AV253" s="416"/>
      <c r="AW253" s="416"/>
      <c r="AX253" s="416"/>
      <c r="AY253" s="416"/>
      <c r="AZ253" s="116"/>
      <c r="BA253" s="416"/>
      <c r="BB253" s="416"/>
      <c r="BC253" s="416"/>
      <c r="BD253" s="416"/>
      <c r="BE253" s="416"/>
      <c r="BF253" s="416"/>
      <c r="BG253" s="416"/>
      <c r="BH253" s="416"/>
      <c r="BI253" s="152"/>
      <c r="BJ253" s="416"/>
      <c r="BK253" s="416"/>
      <c r="BL253" s="416"/>
      <c r="BM253" s="416"/>
      <c r="BN253" s="416"/>
      <c r="BO253" s="416"/>
      <c r="BP253" s="416"/>
      <c r="BQ253" s="416"/>
      <c r="BR253" s="116"/>
      <c r="BS253" s="416"/>
      <c r="BT253" s="416"/>
      <c r="BU253" s="416"/>
      <c r="BV253" s="416"/>
      <c r="BW253" s="416"/>
      <c r="BX253" s="416"/>
      <c r="BY253" s="416"/>
      <c r="BZ253" s="416"/>
      <c r="CA253" s="152"/>
      <c r="CB253" s="416"/>
      <c r="CC253" s="416"/>
      <c r="CD253" s="416"/>
      <c r="CE253" s="416"/>
      <c r="CF253" s="416"/>
      <c r="CG253" s="416"/>
      <c r="CH253" s="416"/>
      <c r="CI253" s="416"/>
      <c r="CJ253" s="152"/>
      <c r="CK253" s="152"/>
      <c r="CL253" s="152"/>
      <c r="CM253" s="152"/>
      <c r="CN253" s="152"/>
      <c r="CO253" s="152"/>
    </row>
    <row r="254" spans="1:93" s="57" customFormat="1" ht="12" customHeight="1" x14ac:dyDescent="0.25">
      <c r="A254" s="265"/>
      <c r="C254" s="402"/>
      <c r="D254" s="402"/>
      <c r="E254" s="402"/>
      <c r="F254" s="402"/>
      <c r="G254" s="402"/>
      <c r="H254" s="135"/>
      <c r="I254" s="402"/>
      <c r="J254" s="402"/>
      <c r="K254" s="402"/>
      <c r="L254" s="402"/>
      <c r="M254" s="402"/>
      <c r="N254" s="402"/>
      <c r="O254" s="135"/>
      <c r="P254" s="402"/>
      <c r="Q254" s="402"/>
      <c r="R254" s="402"/>
      <c r="S254" s="402"/>
      <c r="T254" s="402"/>
      <c r="U254" s="402"/>
      <c r="V254" s="402"/>
      <c r="W254" s="402"/>
      <c r="X254" s="135"/>
      <c r="Y254" s="402"/>
      <c r="Z254" s="402"/>
      <c r="AA254" s="402"/>
      <c r="AB254" s="402"/>
      <c r="AC254" s="402"/>
      <c r="AD254" s="402"/>
      <c r="AE254" s="402"/>
      <c r="AF254" s="402"/>
      <c r="AG254" s="135"/>
      <c r="AH254" s="135"/>
      <c r="AI254" s="416"/>
      <c r="AJ254" s="416"/>
      <c r="AK254" s="416"/>
      <c r="AL254" s="416"/>
      <c r="AM254" s="416"/>
      <c r="AN254" s="416"/>
      <c r="AO254" s="416"/>
      <c r="AP254" s="416"/>
      <c r="AQ254" s="152"/>
      <c r="AR254" s="416"/>
      <c r="AS254" s="416"/>
      <c r="AT254" s="416"/>
      <c r="AU254" s="416"/>
      <c r="AV254" s="416"/>
      <c r="AW254" s="416"/>
      <c r="AX254" s="416"/>
      <c r="AY254" s="416"/>
      <c r="AZ254" s="116"/>
      <c r="BA254" s="416"/>
      <c r="BB254" s="416"/>
      <c r="BC254" s="416"/>
      <c r="BD254" s="416"/>
      <c r="BE254" s="416"/>
      <c r="BF254" s="416"/>
      <c r="BG254" s="416"/>
      <c r="BH254" s="416"/>
      <c r="BI254" s="152"/>
      <c r="BJ254" s="416"/>
      <c r="BK254" s="416"/>
      <c r="BL254" s="416"/>
      <c r="BM254" s="416"/>
      <c r="BN254" s="416"/>
      <c r="BO254" s="416"/>
      <c r="BP254" s="416"/>
      <c r="BQ254" s="416"/>
      <c r="BR254" s="116"/>
      <c r="BS254" s="416"/>
      <c r="BT254" s="416"/>
      <c r="BU254" s="416"/>
      <c r="BV254" s="416"/>
      <c r="BW254" s="416"/>
      <c r="BX254" s="416"/>
      <c r="BY254" s="416"/>
      <c r="BZ254" s="416"/>
      <c r="CA254" s="152"/>
      <c r="CB254" s="416"/>
      <c r="CC254" s="416"/>
      <c r="CD254" s="416"/>
      <c r="CE254" s="416"/>
      <c r="CF254" s="416"/>
      <c r="CG254" s="416"/>
      <c r="CH254" s="416"/>
      <c r="CI254" s="416"/>
      <c r="CJ254" s="152"/>
      <c r="CK254" s="152"/>
      <c r="CL254" s="152"/>
      <c r="CM254" s="152"/>
      <c r="CN254" s="152"/>
      <c r="CO254" s="152"/>
    </row>
    <row r="255" spans="1:93" s="57" customFormat="1" ht="12" customHeight="1" x14ac:dyDescent="0.25">
      <c r="A255" s="265"/>
      <c r="C255" s="402"/>
      <c r="D255" s="402"/>
      <c r="E255" s="402"/>
      <c r="F255" s="402"/>
      <c r="G255" s="402"/>
      <c r="H255" s="135"/>
      <c r="I255" s="402"/>
      <c r="J255" s="402"/>
      <c r="K255" s="402"/>
      <c r="L255" s="402"/>
      <c r="M255" s="402"/>
      <c r="N255" s="402"/>
      <c r="O255" s="135"/>
      <c r="P255" s="402"/>
      <c r="Q255" s="402"/>
      <c r="R255" s="402"/>
      <c r="S255" s="402"/>
      <c r="T255" s="402"/>
      <c r="U255" s="402"/>
      <c r="V255" s="402"/>
      <c r="W255" s="402"/>
      <c r="X255" s="135"/>
      <c r="Y255" s="402"/>
      <c r="Z255" s="402"/>
      <c r="AA255" s="402"/>
      <c r="AB255" s="402"/>
      <c r="AC255" s="402"/>
      <c r="AD255" s="402"/>
      <c r="AE255" s="402"/>
      <c r="AF255" s="402"/>
      <c r="AG255" s="135"/>
      <c r="AH255" s="135"/>
      <c r="AI255" s="416"/>
      <c r="AJ255" s="416"/>
      <c r="AK255" s="416"/>
      <c r="AL255" s="416"/>
      <c r="AM255" s="416"/>
      <c r="AN255" s="416"/>
      <c r="AO255" s="416"/>
      <c r="AP255" s="416"/>
      <c r="AQ255" s="152"/>
      <c r="AR255" s="416"/>
      <c r="AS255" s="416"/>
      <c r="AT255" s="416"/>
      <c r="AU255" s="416"/>
      <c r="AV255" s="416"/>
      <c r="AW255" s="416"/>
      <c r="AX255" s="416"/>
      <c r="AY255" s="416"/>
      <c r="AZ255" s="116"/>
      <c r="BA255" s="416"/>
      <c r="BB255" s="416"/>
      <c r="BC255" s="416"/>
      <c r="BD255" s="416"/>
      <c r="BE255" s="416"/>
      <c r="BF255" s="416"/>
      <c r="BG255" s="416"/>
      <c r="BH255" s="416"/>
      <c r="BI255" s="152"/>
      <c r="BJ255" s="416"/>
      <c r="BK255" s="416"/>
      <c r="BL255" s="416"/>
      <c r="BM255" s="416"/>
      <c r="BN255" s="416"/>
      <c r="BO255" s="416"/>
      <c r="BP255" s="416"/>
      <c r="BQ255" s="416"/>
      <c r="BR255" s="116"/>
      <c r="BS255" s="416"/>
      <c r="BT255" s="416"/>
      <c r="BU255" s="416"/>
      <c r="BV255" s="416"/>
      <c r="BW255" s="416"/>
      <c r="BX255" s="416"/>
      <c r="BY255" s="416"/>
      <c r="BZ255" s="416"/>
      <c r="CA255" s="152"/>
      <c r="CB255" s="416"/>
      <c r="CC255" s="416"/>
      <c r="CD255" s="416"/>
      <c r="CE255" s="416"/>
      <c r="CF255" s="416"/>
      <c r="CG255" s="416"/>
      <c r="CH255" s="416"/>
      <c r="CI255" s="416"/>
      <c r="CJ255" s="152"/>
      <c r="CK255" s="152"/>
      <c r="CL255" s="152"/>
      <c r="CM255" s="152"/>
      <c r="CN255" s="152"/>
      <c r="CO255" s="152"/>
    </row>
    <row r="256" spans="1:93" s="57" customFormat="1" ht="12" customHeight="1" x14ac:dyDescent="0.25">
      <c r="A256" s="265"/>
      <c r="C256" s="402"/>
      <c r="D256" s="402"/>
      <c r="E256" s="402"/>
      <c r="F256" s="402"/>
      <c r="G256" s="402"/>
      <c r="H256" s="135"/>
      <c r="I256" s="402"/>
      <c r="J256" s="402"/>
      <c r="K256" s="402"/>
      <c r="L256" s="402"/>
      <c r="M256" s="402"/>
      <c r="N256" s="402"/>
      <c r="O256" s="135"/>
      <c r="P256" s="402"/>
      <c r="Q256" s="402"/>
      <c r="R256" s="402"/>
      <c r="S256" s="402"/>
      <c r="T256" s="402"/>
      <c r="U256" s="402"/>
      <c r="V256" s="402"/>
      <c r="W256" s="402"/>
      <c r="X256" s="135"/>
      <c r="Y256" s="402"/>
      <c r="Z256" s="402"/>
      <c r="AA256" s="402"/>
      <c r="AB256" s="402"/>
      <c r="AC256" s="402"/>
      <c r="AD256" s="402"/>
      <c r="AE256" s="402"/>
      <c r="AF256" s="402"/>
      <c r="AG256" s="135"/>
      <c r="AH256" s="135"/>
      <c r="AI256" s="416"/>
      <c r="AJ256" s="416"/>
      <c r="AK256" s="416"/>
      <c r="AL256" s="416"/>
      <c r="AM256" s="416"/>
      <c r="AN256" s="416"/>
      <c r="AO256" s="416"/>
      <c r="AP256" s="416"/>
      <c r="AQ256" s="152"/>
      <c r="AR256" s="416"/>
      <c r="AS256" s="416"/>
      <c r="AT256" s="416"/>
      <c r="AU256" s="416"/>
      <c r="AV256" s="416"/>
      <c r="AW256" s="416"/>
      <c r="AX256" s="416"/>
      <c r="AY256" s="416"/>
      <c r="AZ256" s="116"/>
      <c r="BA256" s="416"/>
      <c r="BB256" s="416"/>
      <c r="BC256" s="416"/>
      <c r="BD256" s="416"/>
      <c r="BE256" s="416"/>
      <c r="BF256" s="416"/>
      <c r="BG256" s="416"/>
      <c r="BH256" s="416"/>
      <c r="BI256" s="152"/>
      <c r="BJ256" s="416"/>
      <c r="BK256" s="416"/>
      <c r="BL256" s="416"/>
      <c r="BM256" s="416"/>
      <c r="BN256" s="416"/>
      <c r="BO256" s="416"/>
      <c r="BP256" s="416"/>
      <c r="BQ256" s="416"/>
      <c r="BR256" s="116"/>
      <c r="BS256" s="416"/>
      <c r="BT256" s="416"/>
      <c r="BU256" s="416"/>
      <c r="BV256" s="416"/>
      <c r="BW256" s="416"/>
      <c r="BX256" s="416"/>
      <c r="BY256" s="416"/>
      <c r="BZ256" s="416"/>
      <c r="CA256" s="152"/>
      <c r="CB256" s="416"/>
      <c r="CC256" s="416"/>
      <c r="CD256" s="416"/>
      <c r="CE256" s="416"/>
      <c r="CF256" s="416"/>
      <c r="CG256" s="416"/>
      <c r="CH256" s="416"/>
      <c r="CI256" s="416"/>
      <c r="CJ256" s="152"/>
      <c r="CK256" s="152"/>
      <c r="CL256" s="152"/>
      <c r="CM256" s="152"/>
      <c r="CN256" s="152"/>
      <c r="CO256" s="152"/>
    </row>
    <row r="257" spans="1:94" s="57" customFormat="1" ht="12" customHeight="1" x14ac:dyDescent="0.25">
      <c r="A257" s="265"/>
      <c r="C257" s="402"/>
      <c r="D257" s="402"/>
      <c r="E257" s="402"/>
      <c r="F257" s="402"/>
      <c r="G257" s="402"/>
      <c r="H257" s="135"/>
      <c r="I257" s="402"/>
      <c r="J257" s="402"/>
      <c r="K257" s="402"/>
      <c r="L257" s="402"/>
      <c r="M257" s="402"/>
      <c r="N257" s="402"/>
      <c r="O257" s="135"/>
      <c r="P257" s="402"/>
      <c r="Q257" s="402"/>
      <c r="R257" s="402"/>
      <c r="S257" s="402"/>
      <c r="T257" s="402"/>
      <c r="U257" s="402"/>
      <c r="V257" s="402"/>
      <c r="W257" s="402"/>
      <c r="X257" s="135"/>
      <c r="Y257" s="402"/>
      <c r="Z257" s="402"/>
      <c r="AA257" s="402"/>
      <c r="AB257" s="402"/>
      <c r="AC257" s="402"/>
      <c r="AD257" s="402"/>
      <c r="AE257" s="402"/>
      <c r="AF257" s="402"/>
      <c r="AG257" s="135"/>
      <c r="AH257" s="135"/>
      <c r="AI257" s="416"/>
      <c r="AJ257" s="416"/>
      <c r="AK257" s="416"/>
      <c r="AL257" s="416"/>
      <c r="AM257" s="416"/>
      <c r="AN257" s="416"/>
      <c r="AO257" s="416"/>
      <c r="AP257" s="416"/>
      <c r="AQ257" s="152"/>
      <c r="AR257" s="416"/>
      <c r="AS257" s="416"/>
      <c r="AT257" s="416"/>
      <c r="AU257" s="416"/>
      <c r="AV257" s="416"/>
      <c r="AW257" s="416"/>
      <c r="AX257" s="416"/>
      <c r="AY257" s="416"/>
      <c r="AZ257" s="116"/>
      <c r="BA257" s="416"/>
      <c r="BB257" s="416"/>
      <c r="BC257" s="416"/>
      <c r="BD257" s="416"/>
      <c r="BE257" s="416"/>
      <c r="BF257" s="416"/>
      <c r="BG257" s="416"/>
      <c r="BH257" s="416"/>
      <c r="BI257" s="152"/>
      <c r="BJ257" s="416"/>
      <c r="BK257" s="416"/>
      <c r="BL257" s="416"/>
      <c r="BM257" s="416"/>
      <c r="BN257" s="416"/>
      <c r="BO257" s="416"/>
      <c r="BP257" s="416"/>
      <c r="BQ257" s="416"/>
      <c r="BR257" s="116"/>
      <c r="BS257" s="416"/>
      <c r="BT257" s="416"/>
      <c r="BU257" s="416"/>
      <c r="BV257" s="416"/>
      <c r="BW257" s="416"/>
      <c r="BX257" s="416"/>
      <c r="BY257" s="416"/>
      <c r="BZ257" s="416"/>
      <c r="CA257" s="152"/>
      <c r="CB257" s="416"/>
      <c r="CC257" s="416"/>
      <c r="CD257" s="416"/>
      <c r="CE257" s="416"/>
      <c r="CF257" s="416"/>
      <c r="CG257" s="416"/>
      <c r="CH257" s="416"/>
      <c r="CI257" s="416"/>
      <c r="CJ257" s="152"/>
      <c r="CK257" s="152"/>
      <c r="CL257" s="152"/>
      <c r="CM257" s="152"/>
      <c r="CN257" s="152"/>
      <c r="CO257" s="152"/>
    </row>
    <row r="258" spans="1:94" s="57" customFormat="1" ht="12" customHeight="1" x14ac:dyDescent="0.25">
      <c r="A258" s="265"/>
      <c r="C258" s="402"/>
      <c r="D258" s="402"/>
      <c r="E258" s="402"/>
      <c r="F258" s="402"/>
      <c r="G258" s="402"/>
      <c r="H258" s="135"/>
      <c r="I258" s="402"/>
      <c r="J258" s="402"/>
      <c r="K258" s="402"/>
      <c r="L258" s="402"/>
      <c r="M258" s="402"/>
      <c r="N258" s="402"/>
      <c r="O258" s="135"/>
      <c r="P258" s="402"/>
      <c r="Q258" s="402"/>
      <c r="R258" s="402"/>
      <c r="S258" s="402"/>
      <c r="T258" s="402"/>
      <c r="U258" s="402"/>
      <c r="V258" s="402"/>
      <c r="W258" s="402"/>
      <c r="X258" s="135"/>
      <c r="Y258" s="402"/>
      <c r="Z258" s="402"/>
      <c r="AA258" s="402"/>
      <c r="AB258" s="402"/>
      <c r="AC258" s="402"/>
      <c r="AD258" s="402"/>
      <c r="AE258" s="402"/>
      <c r="AF258" s="402"/>
      <c r="AG258" s="135"/>
      <c r="AH258" s="135"/>
      <c r="AI258" s="416"/>
      <c r="AJ258" s="416"/>
      <c r="AK258" s="416"/>
      <c r="AL258" s="416"/>
      <c r="AM258" s="416"/>
      <c r="AN258" s="416"/>
      <c r="AO258" s="416"/>
      <c r="AP258" s="416"/>
      <c r="AQ258" s="152"/>
      <c r="AR258" s="416"/>
      <c r="AS258" s="416"/>
      <c r="AT258" s="416"/>
      <c r="AU258" s="416"/>
      <c r="AV258" s="416"/>
      <c r="AW258" s="416"/>
      <c r="AX258" s="416"/>
      <c r="AY258" s="416"/>
      <c r="AZ258" s="116"/>
      <c r="BA258" s="416"/>
      <c r="BB258" s="416"/>
      <c r="BC258" s="416"/>
      <c r="BD258" s="416"/>
      <c r="BE258" s="416"/>
      <c r="BF258" s="416"/>
      <c r="BG258" s="416"/>
      <c r="BH258" s="416"/>
      <c r="BI258" s="152"/>
      <c r="BJ258" s="416"/>
      <c r="BK258" s="416"/>
      <c r="BL258" s="416"/>
      <c r="BM258" s="416"/>
      <c r="BN258" s="416"/>
      <c r="BO258" s="416"/>
      <c r="BP258" s="416"/>
      <c r="BQ258" s="416"/>
      <c r="BR258" s="116"/>
      <c r="BS258" s="416"/>
      <c r="BT258" s="416"/>
      <c r="BU258" s="416"/>
      <c r="BV258" s="416"/>
      <c r="BW258" s="416"/>
      <c r="BX258" s="416"/>
      <c r="BY258" s="416"/>
      <c r="BZ258" s="416"/>
      <c r="CA258" s="152"/>
      <c r="CB258" s="416"/>
      <c r="CC258" s="416"/>
      <c r="CD258" s="416"/>
      <c r="CE258" s="416"/>
      <c r="CF258" s="416"/>
      <c r="CG258" s="416"/>
      <c r="CH258" s="416"/>
      <c r="CI258" s="416"/>
      <c r="CJ258" s="152"/>
      <c r="CK258" s="152"/>
      <c r="CL258" s="152"/>
      <c r="CM258" s="152"/>
      <c r="CN258" s="152"/>
      <c r="CO258" s="152"/>
    </row>
    <row r="259" spans="1:94" s="57" customFormat="1" ht="12" customHeight="1" x14ac:dyDescent="0.25">
      <c r="A259" s="265"/>
      <c r="C259" s="402"/>
      <c r="D259" s="402"/>
      <c r="E259" s="402"/>
      <c r="F259" s="402"/>
      <c r="G259" s="402"/>
      <c r="H259" s="135"/>
      <c r="I259" s="402"/>
      <c r="J259" s="402"/>
      <c r="K259" s="402"/>
      <c r="L259" s="402"/>
      <c r="M259" s="402"/>
      <c r="N259" s="402"/>
      <c r="O259" s="135"/>
      <c r="P259" s="402"/>
      <c r="Q259" s="402"/>
      <c r="R259" s="402"/>
      <c r="S259" s="402"/>
      <c r="T259" s="402"/>
      <c r="U259" s="402"/>
      <c r="V259" s="402"/>
      <c r="W259" s="402"/>
      <c r="X259" s="135"/>
      <c r="Y259" s="402"/>
      <c r="Z259" s="402"/>
      <c r="AA259" s="402"/>
      <c r="AB259" s="402"/>
      <c r="AC259" s="402"/>
      <c r="AD259" s="402"/>
      <c r="AE259" s="402"/>
      <c r="AF259" s="402"/>
      <c r="AG259" s="135"/>
      <c r="AH259" s="135"/>
      <c r="AI259" s="416"/>
      <c r="AJ259" s="416"/>
      <c r="AK259" s="416"/>
      <c r="AL259" s="416"/>
      <c r="AM259" s="416"/>
      <c r="AN259" s="416"/>
      <c r="AO259" s="416"/>
      <c r="AP259" s="416"/>
      <c r="AQ259" s="152"/>
      <c r="AR259" s="416"/>
      <c r="AS259" s="416"/>
      <c r="AT259" s="416"/>
      <c r="AU259" s="416"/>
      <c r="AV259" s="416"/>
      <c r="AW259" s="416"/>
      <c r="AX259" s="416"/>
      <c r="AY259" s="416"/>
      <c r="AZ259" s="116"/>
      <c r="BA259" s="416"/>
      <c r="BB259" s="416"/>
      <c r="BC259" s="416"/>
      <c r="BD259" s="416"/>
      <c r="BE259" s="416"/>
      <c r="BF259" s="416"/>
      <c r="BG259" s="416"/>
      <c r="BH259" s="416"/>
      <c r="BI259" s="152"/>
      <c r="BJ259" s="416"/>
      <c r="BK259" s="416"/>
      <c r="BL259" s="416"/>
      <c r="BM259" s="416"/>
      <c r="BN259" s="416"/>
      <c r="BO259" s="416"/>
      <c r="BP259" s="416"/>
      <c r="BQ259" s="416"/>
      <c r="BR259" s="116"/>
      <c r="BS259" s="416"/>
      <c r="BT259" s="416"/>
      <c r="BU259" s="416"/>
      <c r="BV259" s="416"/>
      <c r="BW259" s="416"/>
      <c r="BX259" s="416"/>
      <c r="BY259" s="416"/>
      <c r="BZ259" s="416"/>
      <c r="CA259" s="152"/>
      <c r="CB259" s="416"/>
      <c r="CC259" s="416"/>
      <c r="CD259" s="416"/>
      <c r="CE259" s="416"/>
      <c r="CF259" s="416"/>
      <c r="CG259" s="416"/>
      <c r="CH259" s="416"/>
      <c r="CI259" s="416"/>
      <c r="CJ259" s="152"/>
      <c r="CK259" s="152"/>
      <c r="CL259" s="152"/>
      <c r="CM259" s="152"/>
      <c r="CN259" s="152"/>
      <c r="CO259" s="152"/>
    </row>
    <row r="260" spans="1:94" s="57" customFormat="1" ht="12" customHeight="1" x14ac:dyDescent="0.25">
      <c r="A260" s="265"/>
      <c r="C260" s="402"/>
      <c r="D260" s="402"/>
      <c r="E260" s="402"/>
      <c r="F260" s="402"/>
      <c r="G260" s="402"/>
      <c r="H260" s="135"/>
      <c r="I260" s="402"/>
      <c r="J260" s="402"/>
      <c r="K260" s="402"/>
      <c r="L260" s="402"/>
      <c r="M260" s="402"/>
      <c r="N260" s="402"/>
      <c r="O260" s="135"/>
      <c r="P260" s="402"/>
      <c r="Q260" s="402"/>
      <c r="R260" s="402"/>
      <c r="S260" s="402"/>
      <c r="T260" s="402"/>
      <c r="U260" s="402"/>
      <c r="V260" s="402"/>
      <c r="W260" s="402"/>
      <c r="X260" s="135"/>
      <c r="Y260" s="402"/>
      <c r="Z260" s="402"/>
      <c r="AA260" s="402"/>
      <c r="AB260" s="402"/>
      <c r="AC260" s="402"/>
      <c r="AD260" s="402"/>
      <c r="AE260" s="402"/>
      <c r="AF260" s="402"/>
      <c r="AG260" s="135"/>
      <c r="AH260" s="135"/>
      <c r="AI260" s="416"/>
      <c r="AJ260" s="416"/>
      <c r="AK260" s="416"/>
      <c r="AL260" s="416"/>
      <c r="AM260" s="416"/>
      <c r="AN260" s="416"/>
      <c r="AO260" s="416"/>
      <c r="AP260" s="416"/>
      <c r="AQ260" s="152"/>
      <c r="AR260" s="416"/>
      <c r="AS260" s="416"/>
      <c r="AT260" s="416"/>
      <c r="AU260" s="416"/>
      <c r="AV260" s="416"/>
      <c r="AW260" s="416"/>
      <c r="AX260" s="416"/>
      <c r="AY260" s="416"/>
      <c r="AZ260" s="116"/>
      <c r="BA260" s="416"/>
      <c r="BB260" s="416"/>
      <c r="BC260" s="416"/>
      <c r="BD260" s="416"/>
      <c r="BE260" s="416"/>
      <c r="BF260" s="416"/>
      <c r="BG260" s="416"/>
      <c r="BH260" s="416"/>
      <c r="BI260" s="152"/>
      <c r="BJ260" s="416"/>
      <c r="BK260" s="416"/>
      <c r="BL260" s="416"/>
      <c r="BM260" s="416"/>
      <c r="BN260" s="416"/>
      <c r="BO260" s="416"/>
      <c r="BP260" s="416"/>
      <c r="BQ260" s="416"/>
      <c r="BR260" s="116"/>
      <c r="BS260" s="416"/>
      <c r="BT260" s="416"/>
      <c r="BU260" s="416"/>
      <c r="BV260" s="416"/>
      <c r="BW260" s="416"/>
      <c r="BX260" s="416"/>
      <c r="BY260" s="416"/>
      <c r="BZ260" s="416"/>
      <c r="CA260" s="152"/>
      <c r="CB260" s="416"/>
      <c r="CC260" s="416"/>
      <c r="CD260" s="416"/>
      <c r="CE260" s="416"/>
      <c r="CF260" s="416"/>
      <c r="CG260" s="416"/>
      <c r="CH260" s="416"/>
      <c r="CI260" s="416"/>
      <c r="CJ260" s="152"/>
      <c r="CK260" s="152"/>
      <c r="CL260" s="152"/>
      <c r="CM260" s="152"/>
      <c r="CN260" s="152"/>
      <c r="CO260" s="152"/>
    </row>
    <row r="261" spans="1:94" s="57" customFormat="1" ht="12" customHeight="1" x14ac:dyDescent="0.25">
      <c r="A261" s="265"/>
      <c r="C261" s="402"/>
      <c r="D261" s="402"/>
      <c r="E261" s="402"/>
      <c r="F261" s="402"/>
      <c r="G261" s="402"/>
      <c r="H261" s="135"/>
      <c r="I261" s="402"/>
      <c r="J261" s="402"/>
      <c r="K261" s="402"/>
      <c r="L261" s="402"/>
      <c r="M261" s="402"/>
      <c r="N261" s="402"/>
      <c r="O261" s="135"/>
      <c r="P261" s="402"/>
      <c r="Q261" s="402"/>
      <c r="R261" s="402"/>
      <c r="S261" s="402"/>
      <c r="T261" s="402"/>
      <c r="U261" s="402"/>
      <c r="V261" s="402"/>
      <c r="W261" s="402"/>
      <c r="X261" s="135"/>
      <c r="Y261" s="402"/>
      <c r="Z261" s="402"/>
      <c r="AA261" s="402"/>
      <c r="AB261" s="402"/>
      <c r="AC261" s="402"/>
      <c r="AD261" s="402"/>
      <c r="AE261" s="402"/>
      <c r="AF261" s="402"/>
      <c r="AG261" s="135"/>
      <c r="AH261" s="135"/>
      <c r="AI261" s="416"/>
      <c r="AJ261" s="416"/>
      <c r="AK261" s="416"/>
      <c r="AL261" s="416"/>
      <c r="AM261" s="416"/>
      <c r="AN261" s="416"/>
      <c r="AO261" s="416"/>
      <c r="AP261" s="416"/>
      <c r="AQ261" s="152"/>
      <c r="AR261" s="416"/>
      <c r="AS261" s="416"/>
      <c r="AT261" s="416"/>
      <c r="AU261" s="416"/>
      <c r="AV261" s="416"/>
      <c r="AW261" s="416"/>
      <c r="AX261" s="416"/>
      <c r="AY261" s="416"/>
      <c r="AZ261" s="116"/>
      <c r="BA261" s="416"/>
      <c r="BB261" s="416"/>
      <c r="BC261" s="416"/>
      <c r="BD261" s="416"/>
      <c r="BE261" s="416"/>
      <c r="BF261" s="416"/>
      <c r="BG261" s="416"/>
      <c r="BH261" s="416"/>
      <c r="BI261" s="152"/>
      <c r="BJ261" s="416"/>
      <c r="BK261" s="416"/>
      <c r="BL261" s="416"/>
      <c r="BM261" s="416"/>
      <c r="BN261" s="416"/>
      <c r="BO261" s="416"/>
      <c r="BP261" s="416"/>
      <c r="BQ261" s="416"/>
      <c r="BR261" s="116"/>
      <c r="BS261" s="416"/>
      <c r="BT261" s="416"/>
      <c r="BU261" s="416"/>
      <c r="BV261" s="416"/>
      <c r="BW261" s="416"/>
      <c r="BX261" s="416"/>
      <c r="BY261" s="416"/>
      <c r="BZ261" s="416"/>
      <c r="CA261" s="152"/>
      <c r="CB261" s="416"/>
      <c r="CC261" s="416"/>
      <c r="CD261" s="416"/>
      <c r="CE261" s="416"/>
      <c r="CF261" s="416"/>
      <c r="CG261" s="416"/>
      <c r="CH261" s="416"/>
      <c r="CI261" s="416"/>
      <c r="CJ261" s="152"/>
      <c r="CK261" s="152"/>
      <c r="CL261" s="152"/>
      <c r="CM261" s="152"/>
      <c r="CN261" s="152"/>
      <c r="CO261" s="152"/>
    </row>
    <row r="262" spans="1:94" s="57" customFormat="1" ht="12" customHeight="1" x14ac:dyDescent="0.25">
      <c r="A262" s="265"/>
      <c r="C262" s="402"/>
      <c r="D262" s="402"/>
      <c r="E262" s="402"/>
      <c r="F262" s="402"/>
      <c r="G262" s="402"/>
      <c r="H262" s="135"/>
      <c r="I262" s="402"/>
      <c r="J262" s="402"/>
      <c r="K262" s="402"/>
      <c r="L262" s="402"/>
      <c r="M262" s="402"/>
      <c r="N262" s="402"/>
      <c r="O262" s="135"/>
      <c r="P262" s="402"/>
      <c r="Q262" s="402"/>
      <c r="R262" s="402"/>
      <c r="S262" s="402"/>
      <c r="T262" s="402"/>
      <c r="U262" s="402"/>
      <c r="V262" s="402"/>
      <c r="W262" s="402"/>
      <c r="X262" s="135"/>
      <c r="Y262" s="402"/>
      <c r="Z262" s="402"/>
      <c r="AA262" s="402"/>
      <c r="AB262" s="402"/>
      <c r="AC262" s="402"/>
      <c r="AD262" s="402"/>
      <c r="AE262" s="402"/>
      <c r="AF262" s="402"/>
      <c r="AG262" s="135"/>
      <c r="AH262" s="135"/>
      <c r="AI262" s="416"/>
      <c r="AJ262" s="416"/>
      <c r="AK262" s="416"/>
      <c r="AL262" s="416"/>
      <c r="AM262" s="416"/>
      <c r="AN262" s="416"/>
      <c r="AO262" s="416"/>
      <c r="AP262" s="416"/>
      <c r="AQ262" s="152"/>
      <c r="AR262" s="416"/>
      <c r="AS262" s="416"/>
      <c r="AT262" s="416"/>
      <c r="AU262" s="416"/>
      <c r="AV262" s="416"/>
      <c r="AW262" s="416"/>
      <c r="AX262" s="416"/>
      <c r="AY262" s="416"/>
      <c r="AZ262" s="116"/>
      <c r="BA262" s="416"/>
      <c r="BB262" s="416"/>
      <c r="BC262" s="416"/>
      <c r="BD262" s="416"/>
      <c r="BE262" s="416"/>
      <c r="BF262" s="416"/>
      <c r="BG262" s="416"/>
      <c r="BH262" s="416"/>
      <c r="BI262" s="152"/>
      <c r="BJ262" s="416"/>
      <c r="BK262" s="416"/>
      <c r="BL262" s="416"/>
      <c r="BM262" s="416"/>
      <c r="BN262" s="416"/>
      <c r="BO262" s="416"/>
      <c r="BP262" s="416"/>
      <c r="BQ262" s="416"/>
      <c r="BR262" s="116"/>
      <c r="BS262" s="416"/>
      <c r="BT262" s="416"/>
      <c r="BU262" s="416"/>
      <c r="BV262" s="416"/>
      <c r="BW262" s="416"/>
      <c r="BX262" s="416"/>
      <c r="BY262" s="416"/>
      <c r="BZ262" s="416"/>
      <c r="CA262" s="152"/>
      <c r="CB262" s="416"/>
      <c r="CC262" s="416"/>
      <c r="CD262" s="416"/>
      <c r="CE262" s="416"/>
      <c r="CF262" s="416"/>
      <c r="CG262" s="416"/>
      <c r="CH262" s="416"/>
      <c r="CI262" s="416"/>
      <c r="CJ262" s="152"/>
      <c r="CK262" s="152"/>
      <c r="CL262" s="152"/>
      <c r="CM262" s="152"/>
      <c r="CN262" s="152"/>
      <c r="CO262" s="152"/>
    </row>
    <row r="263" spans="1:94" s="57" customFormat="1" ht="12" customHeight="1" x14ac:dyDescent="0.25">
      <c r="A263" s="265"/>
      <c r="C263" s="402"/>
      <c r="D263" s="402"/>
      <c r="E263" s="402"/>
      <c r="F263" s="402"/>
      <c r="G263" s="402"/>
      <c r="H263" s="135"/>
      <c r="I263" s="402"/>
      <c r="J263" s="402"/>
      <c r="K263" s="402"/>
      <c r="L263" s="402"/>
      <c r="M263" s="402"/>
      <c r="N263" s="402"/>
      <c r="O263" s="135"/>
      <c r="P263" s="402"/>
      <c r="Q263" s="402"/>
      <c r="R263" s="402"/>
      <c r="S263" s="402"/>
      <c r="T263" s="402"/>
      <c r="U263" s="402"/>
      <c r="V263" s="402"/>
      <c r="W263" s="402"/>
      <c r="X263" s="135"/>
      <c r="Y263" s="402"/>
      <c r="Z263" s="402"/>
      <c r="AA263" s="402"/>
      <c r="AB263" s="402"/>
      <c r="AC263" s="402"/>
      <c r="AD263" s="402"/>
      <c r="AE263" s="402"/>
      <c r="AF263" s="402"/>
      <c r="AG263" s="135"/>
      <c r="AH263" s="135"/>
      <c r="AI263" s="416"/>
      <c r="AJ263" s="416"/>
      <c r="AK263" s="416"/>
      <c r="AL263" s="416"/>
      <c r="AM263" s="416"/>
      <c r="AN263" s="416"/>
      <c r="AO263" s="416"/>
      <c r="AP263" s="416"/>
      <c r="AQ263" s="152"/>
      <c r="AR263" s="416"/>
      <c r="AS263" s="416"/>
      <c r="AT263" s="416"/>
      <c r="AU263" s="416"/>
      <c r="AV263" s="416"/>
      <c r="AW263" s="416"/>
      <c r="AX263" s="416"/>
      <c r="AY263" s="416"/>
      <c r="AZ263" s="116"/>
      <c r="BA263" s="416"/>
      <c r="BB263" s="416"/>
      <c r="BC263" s="416"/>
      <c r="BD263" s="416"/>
      <c r="BE263" s="416"/>
      <c r="BF263" s="416"/>
      <c r="BG263" s="416"/>
      <c r="BH263" s="416"/>
      <c r="BI263" s="152"/>
      <c r="BJ263" s="416"/>
      <c r="BK263" s="416"/>
      <c r="BL263" s="416"/>
      <c r="BM263" s="416"/>
      <c r="BN263" s="416"/>
      <c r="BO263" s="416"/>
      <c r="BP263" s="416"/>
      <c r="BQ263" s="416"/>
      <c r="BR263" s="116"/>
      <c r="BS263" s="416"/>
      <c r="BT263" s="416"/>
      <c r="BU263" s="416"/>
      <c r="BV263" s="416"/>
      <c r="BW263" s="416"/>
      <c r="BX263" s="416"/>
      <c r="BY263" s="416"/>
      <c r="BZ263" s="416"/>
      <c r="CA263" s="152"/>
      <c r="CB263" s="416"/>
      <c r="CC263" s="416"/>
      <c r="CD263" s="416"/>
      <c r="CE263" s="416"/>
      <c r="CF263" s="416"/>
      <c r="CG263" s="416"/>
      <c r="CH263" s="416"/>
      <c r="CI263" s="416"/>
      <c r="CJ263" s="152"/>
      <c r="CK263" s="152"/>
      <c r="CL263" s="152"/>
      <c r="CM263" s="152"/>
      <c r="CN263" s="152"/>
      <c r="CO263" s="152"/>
    </row>
    <row r="264" spans="1:94" s="57" customFormat="1" ht="12" customHeight="1" x14ac:dyDescent="0.25">
      <c r="A264" s="265"/>
      <c r="C264" s="402"/>
      <c r="D264" s="402"/>
      <c r="E264" s="402"/>
      <c r="F264" s="402"/>
      <c r="G264" s="402"/>
      <c r="H264" s="135"/>
      <c r="I264" s="402"/>
      <c r="J264" s="402"/>
      <c r="K264" s="402"/>
      <c r="L264" s="402"/>
      <c r="M264" s="402"/>
      <c r="N264" s="402"/>
      <c r="O264" s="135"/>
      <c r="P264" s="402"/>
      <c r="Q264" s="402"/>
      <c r="R264" s="402"/>
      <c r="S264" s="402"/>
      <c r="T264" s="402"/>
      <c r="U264" s="402"/>
      <c r="V264" s="402"/>
      <c r="W264" s="402"/>
      <c r="X264" s="135"/>
      <c r="Y264" s="402"/>
      <c r="Z264" s="402"/>
      <c r="AA264" s="402"/>
      <c r="AB264" s="402"/>
      <c r="AC264" s="402"/>
      <c r="AD264" s="402"/>
      <c r="AE264" s="402"/>
      <c r="AF264" s="402"/>
      <c r="AG264" s="135"/>
      <c r="AH264" s="135"/>
      <c r="AI264" s="416"/>
      <c r="AJ264" s="416"/>
      <c r="AK264" s="416"/>
      <c r="AL264" s="416"/>
      <c r="AM264" s="416"/>
      <c r="AN264" s="416"/>
      <c r="AO264" s="416"/>
      <c r="AP264" s="416"/>
      <c r="AQ264" s="152"/>
      <c r="AR264" s="416"/>
      <c r="AS264" s="416"/>
      <c r="AT264" s="416"/>
      <c r="AU264" s="416"/>
      <c r="AV264" s="416"/>
      <c r="AW264" s="416"/>
      <c r="AX264" s="416"/>
      <c r="AY264" s="416"/>
      <c r="AZ264" s="116"/>
      <c r="BA264" s="416"/>
      <c r="BB264" s="416"/>
      <c r="BC264" s="416"/>
      <c r="BD264" s="416"/>
      <c r="BE264" s="416"/>
      <c r="BF264" s="416"/>
      <c r="BG264" s="416"/>
      <c r="BH264" s="416"/>
      <c r="BI264" s="152"/>
      <c r="BJ264" s="416"/>
      <c r="BK264" s="416"/>
      <c r="BL264" s="416"/>
      <c r="BM264" s="416"/>
      <c r="BN264" s="416"/>
      <c r="BO264" s="416"/>
      <c r="BP264" s="416"/>
      <c r="BQ264" s="416"/>
      <c r="BR264" s="116"/>
      <c r="BS264" s="416"/>
      <c r="BT264" s="416"/>
      <c r="BU264" s="416"/>
      <c r="BV264" s="416"/>
      <c r="BW264" s="416"/>
      <c r="BX264" s="416"/>
      <c r="BY264" s="416"/>
      <c r="BZ264" s="416"/>
      <c r="CA264" s="152"/>
      <c r="CB264" s="416"/>
      <c r="CC264" s="416"/>
      <c r="CD264" s="416"/>
      <c r="CE264" s="416"/>
      <c r="CF264" s="416"/>
      <c r="CG264" s="416"/>
      <c r="CH264" s="416"/>
      <c r="CI264" s="416"/>
      <c r="CJ264" s="152"/>
      <c r="CK264" s="152"/>
      <c r="CL264" s="152"/>
      <c r="CM264" s="152"/>
      <c r="CN264" s="152"/>
      <c r="CO264" s="152"/>
    </row>
    <row r="265" spans="1:94" s="57" customFormat="1" ht="12" customHeight="1" x14ac:dyDescent="0.25">
      <c r="A265" s="265"/>
      <c r="C265" s="402"/>
      <c r="D265" s="402"/>
      <c r="E265" s="402"/>
      <c r="F265" s="402"/>
      <c r="G265" s="402"/>
      <c r="I265" s="402"/>
      <c r="J265" s="402"/>
      <c r="K265" s="402"/>
      <c r="L265" s="402"/>
      <c r="M265" s="402"/>
      <c r="N265" s="402"/>
      <c r="P265" s="402"/>
      <c r="Q265" s="402"/>
      <c r="R265" s="402"/>
      <c r="S265" s="402"/>
      <c r="T265" s="402"/>
      <c r="U265" s="402"/>
      <c r="V265" s="402"/>
      <c r="W265" s="402"/>
      <c r="X265" s="116"/>
      <c r="Y265" s="402"/>
      <c r="Z265" s="402"/>
      <c r="AA265" s="402"/>
      <c r="AB265" s="402"/>
      <c r="AC265" s="402"/>
      <c r="AD265" s="402"/>
      <c r="AE265" s="402"/>
      <c r="AF265" s="402"/>
      <c r="AG265" s="116"/>
      <c r="AH265" s="116"/>
      <c r="AI265" s="416"/>
      <c r="AJ265" s="416"/>
      <c r="AK265" s="416"/>
      <c r="AL265" s="416"/>
      <c r="AM265" s="416"/>
      <c r="AN265" s="416"/>
      <c r="AO265" s="416"/>
      <c r="AP265" s="416"/>
      <c r="AQ265" s="116"/>
      <c r="AR265" s="416"/>
      <c r="AS265" s="416"/>
      <c r="AT265" s="416"/>
      <c r="AU265" s="416"/>
      <c r="AV265" s="416"/>
      <c r="AW265" s="416"/>
      <c r="AX265" s="416"/>
      <c r="AY265" s="416"/>
      <c r="AZ265" s="116"/>
      <c r="BA265" s="416"/>
      <c r="BB265" s="416"/>
      <c r="BC265" s="416"/>
      <c r="BD265" s="416"/>
      <c r="BE265" s="416"/>
      <c r="BF265" s="416"/>
      <c r="BG265" s="416"/>
      <c r="BH265" s="416"/>
      <c r="BI265" s="116"/>
      <c r="BJ265" s="416"/>
      <c r="BK265" s="416"/>
      <c r="BL265" s="416"/>
      <c r="BM265" s="416"/>
      <c r="BN265" s="416"/>
      <c r="BO265" s="416"/>
      <c r="BP265" s="416"/>
      <c r="BQ265" s="416"/>
      <c r="BR265" s="116"/>
      <c r="BS265" s="416"/>
      <c r="BT265" s="416"/>
      <c r="BU265" s="416"/>
      <c r="BV265" s="416"/>
      <c r="BW265" s="416"/>
      <c r="BX265" s="416"/>
      <c r="BY265" s="416"/>
      <c r="BZ265" s="416"/>
      <c r="CA265" s="116"/>
      <c r="CB265" s="416"/>
      <c r="CC265" s="416"/>
      <c r="CD265" s="416"/>
      <c r="CE265" s="416"/>
      <c r="CF265" s="416"/>
      <c r="CG265" s="416"/>
      <c r="CH265" s="416"/>
      <c r="CI265" s="416"/>
      <c r="CJ265" s="116"/>
      <c r="CK265" s="116"/>
      <c r="CL265" s="116"/>
      <c r="CM265" s="116"/>
      <c r="CN265" s="116"/>
      <c r="CO265" s="116"/>
    </row>
    <row r="266" spans="1:94" s="62" customFormat="1" ht="12" customHeight="1" x14ac:dyDescent="0.25">
      <c r="A266" s="265"/>
      <c r="C266" s="402"/>
      <c r="D266" s="402"/>
      <c r="E266" s="402"/>
      <c r="F266" s="402"/>
      <c r="G266" s="402"/>
      <c r="I266" s="402"/>
      <c r="J266" s="402"/>
      <c r="K266" s="402"/>
      <c r="L266" s="402"/>
      <c r="M266" s="402"/>
      <c r="N266" s="402"/>
      <c r="P266" s="402"/>
      <c r="Q266" s="402"/>
      <c r="R266" s="402"/>
      <c r="S266" s="402"/>
      <c r="T266" s="402"/>
      <c r="U266" s="402"/>
      <c r="V266" s="402"/>
      <c r="W266" s="402"/>
      <c r="X266" s="116"/>
      <c r="Y266" s="402"/>
      <c r="Z266" s="402"/>
      <c r="AA266" s="402"/>
      <c r="AB266" s="402"/>
      <c r="AC266" s="402"/>
      <c r="AD266" s="402"/>
      <c r="AE266" s="402"/>
      <c r="AF266" s="402"/>
      <c r="AG266" s="116"/>
      <c r="AH266" s="116"/>
      <c r="AI266" s="416"/>
      <c r="AJ266" s="416"/>
      <c r="AK266" s="416"/>
      <c r="AL266" s="416"/>
      <c r="AM266" s="416"/>
      <c r="AN266" s="416"/>
      <c r="AO266" s="416"/>
      <c r="AP266" s="416"/>
      <c r="AQ266" s="116"/>
      <c r="AR266" s="416"/>
      <c r="AS266" s="416"/>
      <c r="AT266" s="416"/>
      <c r="AU266" s="416"/>
      <c r="AV266" s="416"/>
      <c r="AW266" s="416"/>
      <c r="AX266" s="416"/>
      <c r="AY266" s="416"/>
      <c r="AZ266" s="116"/>
      <c r="BA266" s="416"/>
      <c r="BB266" s="416"/>
      <c r="BC266" s="416"/>
      <c r="BD266" s="416"/>
      <c r="BE266" s="416"/>
      <c r="BF266" s="416"/>
      <c r="BG266" s="416"/>
      <c r="BH266" s="416"/>
      <c r="BI266" s="116"/>
      <c r="BJ266" s="416"/>
      <c r="BK266" s="416"/>
      <c r="BL266" s="416"/>
      <c r="BM266" s="416"/>
      <c r="BN266" s="416"/>
      <c r="BO266" s="416"/>
      <c r="BP266" s="416"/>
      <c r="BQ266" s="416"/>
      <c r="BR266" s="116"/>
      <c r="BS266" s="416"/>
      <c r="BT266" s="416"/>
      <c r="BU266" s="416"/>
      <c r="BV266" s="416"/>
      <c r="BW266" s="416"/>
      <c r="BX266" s="416"/>
      <c r="BY266" s="416"/>
      <c r="BZ266" s="416"/>
      <c r="CA266" s="116"/>
      <c r="CB266" s="416"/>
      <c r="CC266" s="416"/>
      <c r="CD266" s="416"/>
      <c r="CE266" s="416"/>
      <c r="CF266" s="416"/>
      <c r="CG266" s="416"/>
      <c r="CH266" s="416"/>
      <c r="CI266" s="416"/>
      <c r="CJ266" s="116"/>
      <c r="CK266" s="116"/>
      <c r="CL266" s="116"/>
      <c r="CM266" s="116"/>
      <c r="CN266" s="116"/>
      <c r="CO266" s="116"/>
    </row>
    <row r="267" spans="1:94" s="62" customFormat="1" ht="31.5" customHeight="1" x14ac:dyDescent="0.25">
      <c r="A267" s="265"/>
      <c r="B267" s="68"/>
      <c r="C267" s="69"/>
      <c r="D267" s="143"/>
      <c r="E267" s="143"/>
      <c r="F267" s="143"/>
      <c r="G267" s="143"/>
      <c r="H267" s="124"/>
      <c r="K267" s="415" t="str">
        <f>IF(G233&gt;2, "Scroll to the right to provide information on the next deficient resource category ==&gt;", "")</f>
        <v/>
      </c>
      <c r="L267" s="415"/>
      <c r="M267" s="415"/>
      <c r="N267" s="415"/>
      <c r="O267" s="128"/>
      <c r="P267" s="260"/>
      <c r="Q267" s="116"/>
      <c r="R267" s="116"/>
      <c r="S267" s="116"/>
      <c r="T267" s="116"/>
      <c r="U267" s="116"/>
      <c r="V267" s="116"/>
      <c r="W267" s="116"/>
      <c r="X267" s="116"/>
      <c r="Y267" s="116"/>
      <c r="Z267" s="116"/>
      <c r="AA267" s="116"/>
      <c r="AB267" s="116"/>
      <c r="AC267" s="415" t="str">
        <f>IF(G233&gt;4, "Scroll to the right to provide information on the next deficient resource category ==&gt;", "")</f>
        <v/>
      </c>
      <c r="AD267" s="415"/>
      <c r="AE267" s="415"/>
      <c r="AF267" s="415"/>
      <c r="AG267" s="415"/>
      <c r="AI267" s="116"/>
      <c r="AJ267" s="116"/>
      <c r="AK267" s="116"/>
      <c r="AL267" s="116"/>
      <c r="AM267" s="116"/>
      <c r="AN267" s="116"/>
      <c r="AO267" s="116"/>
      <c r="AP267" s="116"/>
      <c r="AU267" s="415" t="str">
        <f>IF(G233&gt;6, "Scroll to the right to provide information on the next deficient resource category ==&gt;", "")</f>
        <v/>
      </c>
      <c r="AV267" s="415"/>
      <c r="AW267" s="415"/>
      <c r="AX267" s="415"/>
      <c r="AY267" s="415"/>
      <c r="AZ267" s="116"/>
      <c r="BA267" s="116"/>
      <c r="BB267" s="116"/>
      <c r="BC267" s="116"/>
      <c r="BD267" s="116"/>
      <c r="BE267" s="116"/>
      <c r="BF267" s="116"/>
      <c r="BG267" s="116"/>
      <c r="BH267" s="116"/>
      <c r="BI267" s="116"/>
      <c r="BJ267" s="116"/>
      <c r="BK267" s="116"/>
      <c r="BL267" s="116"/>
      <c r="BM267" s="415" t="str">
        <f>IF(G233&gt;8, "Scroll to the right to provide information on the next deficient resource category ==&gt;", "")</f>
        <v/>
      </c>
      <c r="BN267" s="415"/>
      <c r="BO267" s="415"/>
      <c r="BP267" s="415"/>
      <c r="BQ267" s="415"/>
      <c r="BR267" s="116"/>
      <c r="BS267" s="116"/>
      <c r="BZ267" s="116"/>
      <c r="CA267" s="116"/>
      <c r="CB267" s="116"/>
      <c r="CD267" s="175"/>
      <c r="CE267" s="175"/>
      <c r="CF267" s="175"/>
      <c r="CG267" s="175"/>
      <c r="CH267" s="175"/>
      <c r="CI267" s="175"/>
      <c r="CJ267" s="156"/>
      <c r="CK267" s="125"/>
      <c r="CM267" s="128"/>
      <c r="CN267" s="128"/>
      <c r="CO267" s="128"/>
      <c r="CP267" s="128"/>
    </row>
    <row r="268" spans="1:94" s="62" customFormat="1" ht="15" customHeight="1" x14ac:dyDescent="0.25">
      <c r="A268" s="265"/>
      <c r="C268" s="69"/>
      <c r="I268" s="69"/>
      <c r="P268" s="295"/>
      <c r="Q268" s="116"/>
      <c r="R268" s="116"/>
      <c r="S268" s="116"/>
      <c r="T268" s="116"/>
      <c r="U268" s="116"/>
      <c r="V268" s="116"/>
      <c r="W268" s="116"/>
      <c r="X268" s="116"/>
      <c r="Y268" s="69"/>
      <c r="Z268" s="116"/>
      <c r="AA268" s="116"/>
      <c r="AB268" s="116"/>
      <c r="AC268" s="116"/>
      <c r="AD268" s="116"/>
      <c r="AE268" s="116"/>
      <c r="AF268" s="116"/>
      <c r="AG268" s="116"/>
      <c r="AH268" s="116"/>
      <c r="AI268" s="69"/>
      <c r="AJ268" s="116"/>
      <c r="AK268" s="116"/>
      <c r="AL268" s="116"/>
      <c r="AM268" s="116"/>
      <c r="AN268" s="116"/>
      <c r="AO268" s="116"/>
      <c r="AP268" s="116"/>
      <c r="AQ268" s="116"/>
      <c r="AR268" s="69"/>
      <c r="AS268" s="116"/>
      <c r="AT268" s="116"/>
      <c r="AU268" s="116"/>
      <c r="AV268" s="116"/>
      <c r="AW268" s="116"/>
      <c r="AX268" s="116"/>
      <c r="AY268" s="116"/>
      <c r="AZ268" s="116"/>
      <c r="BA268" s="69"/>
      <c r="BB268" s="116"/>
      <c r="BC268" s="116"/>
      <c r="BD268" s="116"/>
      <c r="BE268" s="116"/>
      <c r="BF268" s="116"/>
      <c r="BG268" s="116"/>
      <c r="BH268" s="116"/>
      <c r="BI268" s="116"/>
      <c r="BJ268" s="69"/>
      <c r="BK268" s="116"/>
      <c r="BL268" s="116"/>
      <c r="BM268" s="116"/>
      <c r="BN268" s="116"/>
      <c r="BO268" s="116"/>
      <c r="BP268" s="116"/>
      <c r="BQ268" s="116"/>
      <c r="BR268" s="116"/>
      <c r="BS268" s="69"/>
      <c r="BT268" s="116"/>
      <c r="BU268" s="116"/>
      <c r="BV268" s="116"/>
      <c r="BW268" s="116"/>
      <c r="BX268" s="116"/>
      <c r="BY268" s="116"/>
      <c r="BZ268" s="116"/>
      <c r="CA268" s="116"/>
      <c r="CB268" s="69"/>
      <c r="CC268" s="116"/>
      <c r="CD268" s="116"/>
      <c r="CE268" s="116"/>
      <c r="CF268" s="116"/>
      <c r="CG268" s="116"/>
      <c r="CH268" s="116"/>
      <c r="CI268" s="116"/>
      <c r="CJ268" s="116"/>
      <c r="CK268" s="116"/>
      <c r="CL268" s="116"/>
      <c r="CM268" s="116"/>
      <c r="CN268" s="116"/>
      <c r="CO268" s="116"/>
    </row>
    <row r="269" spans="1:94" s="62" customFormat="1" ht="15.75" x14ac:dyDescent="0.25">
      <c r="A269" s="265"/>
      <c r="C269" s="69" t="str">
        <f>IF(G233&gt;=1,"Provide a detailed ACTION PLAN for category #1 in the box below","")</f>
        <v/>
      </c>
      <c r="I269" s="69" t="str">
        <f>IF(G233&gt;=2,"Provide a detailed ACTION PLAN for category #2 in the box below","")</f>
        <v/>
      </c>
      <c r="P269" s="295" t="str">
        <f>IF(G233&gt;=3,"Provide a detailed ACTION PLAN for category #3 in the box below","")</f>
        <v/>
      </c>
      <c r="Q269" s="116"/>
      <c r="R269" s="116"/>
      <c r="S269" s="116"/>
      <c r="T269" s="116"/>
      <c r="U269" s="116"/>
      <c r="V269" s="116"/>
      <c r="W269" s="116"/>
      <c r="X269" s="116"/>
      <c r="Y269" s="69" t="str">
        <f>IF(G233&gt;=4,"Provide a detailed ACTION PLAN for category #4 in the box below","")</f>
        <v/>
      </c>
      <c r="Z269" s="116"/>
      <c r="AA269" s="116"/>
      <c r="AB269" s="116"/>
      <c r="AC269" s="116"/>
      <c r="AD269" s="116"/>
      <c r="AE269" s="116"/>
      <c r="AF269" s="116"/>
      <c r="AG269" s="116"/>
      <c r="AH269" s="116"/>
      <c r="AI269" s="69" t="str">
        <f>IF(G233&gt;=5,"Provide a detailed ACTION PLAN for category #5 in the box below","")</f>
        <v/>
      </c>
      <c r="AJ269" s="116"/>
      <c r="AK269" s="116"/>
      <c r="AL269" s="116"/>
      <c r="AM269" s="116"/>
      <c r="AN269" s="116"/>
      <c r="AO269" s="116"/>
      <c r="AP269" s="116"/>
      <c r="AQ269" s="116"/>
      <c r="AR269" s="69" t="str">
        <f>IF(G233&gt;=6,"Provide a detailed ACTION PLAN for category #6 in the box below","")</f>
        <v/>
      </c>
      <c r="AS269" s="116"/>
      <c r="AT269" s="116"/>
      <c r="AU269" s="116"/>
      <c r="AV269" s="116"/>
      <c r="AW269" s="116"/>
      <c r="AX269" s="116"/>
      <c r="AY269" s="116"/>
      <c r="AZ269" s="116"/>
      <c r="BA269" s="69" t="str">
        <f>IF(G233&gt;=7,"Provide a detailed ACTION PLAN for category #7 in the box below","")</f>
        <v/>
      </c>
      <c r="BB269" s="116"/>
      <c r="BC269" s="116"/>
      <c r="BD269" s="116"/>
      <c r="BE269" s="116"/>
      <c r="BF269" s="116"/>
      <c r="BG269" s="116"/>
      <c r="BH269" s="116"/>
      <c r="BI269" s="116"/>
      <c r="BJ269" s="69" t="str">
        <f>IF(G233&gt;=8,"Provide a detailed ACTION PLAN for category #8 in the box below","")</f>
        <v/>
      </c>
      <c r="BK269" s="116"/>
      <c r="BL269" s="116"/>
      <c r="BM269" s="116"/>
      <c r="BN269" s="116"/>
      <c r="BO269" s="116"/>
      <c r="BP269" s="116"/>
      <c r="BQ269" s="116"/>
      <c r="BR269" s="116"/>
      <c r="BS269" s="69" t="str">
        <f>IF(G233&gt;=9,"Provide a detailed ACTION PLAN for category #9 in the box below","")</f>
        <v/>
      </c>
      <c r="BT269" s="116"/>
      <c r="BU269" s="116"/>
      <c r="BV269" s="116"/>
      <c r="BW269" s="116"/>
      <c r="BX269" s="116"/>
      <c r="BY269" s="116"/>
      <c r="BZ269" s="116"/>
      <c r="CA269" s="116"/>
      <c r="CB269" s="69" t="str">
        <f>IF(G233&gt;=10,"Provide a detailed ACTION PLAN for category #10 in the box below","")</f>
        <v/>
      </c>
      <c r="CC269" s="116"/>
      <c r="CD269" s="116"/>
      <c r="CE269" s="116"/>
      <c r="CF269" s="116"/>
      <c r="CG269" s="116"/>
      <c r="CH269" s="116"/>
      <c r="CI269" s="116"/>
      <c r="CJ269" s="116"/>
      <c r="CK269" s="116"/>
      <c r="CL269" s="116"/>
      <c r="CM269" s="116"/>
      <c r="CN269" s="116"/>
      <c r="CO269" s="116"/>
    </row>
    <row r="270" spans="1:94" s="62" customFormat="1" ht="12" customHeight="1" x14ac:dyDescent="0.25">
      <c r="A270" s="265"/>
      <c r="C270" s="402"/>
      <c r="D270" s="402"/>
      <c r="E270" s="402"/>
      <c r="F270" s="402"/>
      <c r="G270" s="402"/>
      <c r="H270" s="423" t="str">
        <f>IF(H272=1, "&lt;===", "")</f>
        <v/>
      </c>
      <c r="I270" s="402"/>
      <c r="J270" s="402"/>
      <c r="K270" s="402"/>
      <c r="L270" s="402"/>
      <c r="M270" s="402"/>
      <c r="N270" s="402"/>
      <c r="O270" s="423" t="str">
        <f>IF(O272=1, "&lt;===", "")</f>
        <v/>
      </c>
      <c r="P270" s="402"/>
      <c r="Q270" s="402"/>
      <c r="R270" s="402"/>
      <c r="S270" s="402"/>
      <c r="T270" s="402"/>
      <c r="U270" s="402"/>
      <c r="V270" s="402"/>
      <c r="W270" s="402"/>
      <c r="X270" s="423" t="str">
        <f>IF(X272=1, "&lt;===", "")</f>
        <v/>
      </c>
      <c r="Y270" s="402"/>
      <c r="Z270" s="402"/>
      <c r="AA270" s="402"/>
      <c r="AB270" s="402"/>
      <c r="AC270" s="402"/>
      <c r="AD270" s="402"/>
      <c r="AE270" s="402"/>
      <c r="AF270" s="402"/>
      <c r="AG270" s="423" t="str">
        <f>IF(AG272=1, "&lt;===", "")</f>
        <v/>
      </c>
      <c r="AH270" s="135"/>
      <c r="AI270" s="416"/>
      <c r="AJ270" s="416"/>
      <c r="AK270" s="416"/>
      <c r="AL270" s="416"/>
      <c r="AM270" s="416"/>
      <c r="AN270" s="416"/>
      <c r="AO270" s="416"/>
      <c r="AP270" s="416"/>
      <c r="AQ270" s="423" t="str">
        <f>IF(AQ272=1, "&lt;===", "")</f>
        <v/>
      </c>
      <c r="AR270" s="416"/>
      <c r="AS270" s="416"/>
      <c r="AT270" s="416"/>
      <c r="AU270" s="416"/>
      <c r="AV270" s="416"/>
      <c r="AW270" s="416"/>
      <c r="AX270" s="416"/>
      <c r="AY270" s="416"/>
      <c r="AZ270" s="414" t="str">
        <f>IF(AZ272=1, "&lt;===", "")</f>
        <v/>
      </c>
      <c r="BA270" s="416"/>
      <c r="BB270" s="416"/>
      <c r="BC270" s="416"/>
      <c r="BD270" s="416"/>
      <c r="BE270" s="416"/>
      <c r="BF270" s="416"/>
      <c r="BG270" s="416"/>
      <c r="BH270" s="416"/>
      <c r="BI270" s="423" t="str">
        <f>IF(BI272=1, "&lt;===", "")</f>
        <v/>
      </c>
      <c r="BJ270" s="416"/>
      <c r="BK270" s="416"/>
      <c r="BL270" s="416"/>
      <c r="BM270" s="416"/>
      <c r="BN270" s="416"/>
      <c r="BO270" s="416"/>
      <c r="BP270" s="416"/>
      <c r="BQ270" s="416"/>
      <c r="BR270" s="414" t="str">
        <f>IF(BR272=1, "&lt;===", "")</f>
        <v/>
      </c>
      <c r="BS270" s="416"/>
      <c r="BT270" s="416"/>
      <c r="BU270" s="416"/>
      <c r="BV270" s="416"/>
      <c r="BW270" s="416"/>
      <c r="BX270" s="416"/>
      <c r="BY270" s="416"/>
      <c r="BZ270" s="416"/>
      <c r="CA270" s="423" t="str">
        <f>IF(CA272=1, "&lt;===", "")</f>
        <v/>
      </c>
      <c r="CB270" s="416"/>
      <c r="CC270" s="416"/>
      <c r="CD270" s="416"/>
      <c r="CE270" s="416"/>
      <c r="CF270" s="416"/>
      <c r="CG270" s="416"/>
      <c r="CH270" s="416"/>
      <c r="CI270" s="416"/>
      <c r="CJ270" s="423" t="str">
        <f>IF(CJ272=1, "&lt;===", "")</f>
        <v/>
      </c>
      <c r="CK270" s="152"/>
      <c r="CL270" s="152"/>
      <c r="CM270" s="152"/>
      <c r="CN270" s="152"/>
      <c r="CO270" s="152"/>
    </row>
    <row r="271" spans="1:94" s="62" customFormat="1" ht="12" customHeight="1" x14ac:dyDescent="0.25">
      <c r="A271" s="265"/>
      <c r="C271" s="402"/>
      <c r="D271" s="402"/>
      <c r="E271" s="402"/>
      <c r="F271" s="402"/>
      <c r="G271" s="402"/>
      <c r="H271" s="423"/>
      <c r="I271" s="402"/>
      <c r="J271" s="402"/>
      <c r="K271" s="402"/>
      <c r="L271" s="402"/>
      <c r="M271" s="402"/>
      <c r="N271" s="402"/>
      <c r="O271" s="423"/>
      <c r="P271" s="402"/>
      <c r="Q271" s="402"/>
      <c r="R271" s="402"/>
      <c r="S271" s="402"/>
      <c r="T271" s="402"/>
      <c r="U271" s="402"/>
      <c r="V271" s="402"/>
      <c r="W271" s="402"/>
      <c r="X271" s="423"/>
      <c r="Y271" s="402"/>
      <c r="Z271" s="402"/>
      <c r="AA271" s="402"/>
      <c r="AB271" s="402"/>
      <c r="AC271" s="402"/>
      <c r="AD271" s="402"/>
      <c r="AE271" s="402"/>
      <c r="AF271" s="402"/>
      <c r="AG271" s="423"/>
      <c r="AH271" s="135"/>
      <c r="AI271" s="416"/>
      <c r="AJ271" s="416"/>
      <c r="AK271" s="416"/>
      <c r="AL271" s="416"/>
      <c r="AM271" s="416"/>
      <c r="AN271" s="416"/>
      <c r="AO271" s="416"/>
      <c r="AP271" s="416"/>
      <c r="AQ271" s="423"/>
      <c r="AR271" s="416"/>
      <c r="AS271" s="416"/>
      <c r="AT271" s="416"/>
      <c r="AU271" s="416"/>
      <c r="AV271" s="416"/>
      <c r="AW271" s="416"/>
      <c r="AX271" s="416"/>
      <c r="AY271" s="416"/>
      <c r="AZ271" s="414"/>
      <c r="BA271" s="416"/>
      <c r="BB271" s="416"/>
      <c r="BC271" s="416"/>
      <c r="BD271" s="416"/>
      <c r="BE271" s="416"/>
      <c r="BF271" s="416"/>
      <c r="BG271" s="416"/>
      <c r="BH271" s="416"/>
      <c r="BI271" s="423"/>
      <c r="BJ271" s="416"/>
      <c r="BK271" s="416"/>
      <c r="BL271" s="416"/>
      <c r="BM271" s="416"/>
      <c r="BN271" s="416"/>
      <c r="BO271" s="416"/>
      <c r="BP271" s="416"/>
      <c r="BQ271" s="416"/>
      <c r="BR271" s="414"/>
      <c r="BS271" s="416"/>
      <c r="BT271" s="416"/>
      <c r="BU271" s="416"/>
      <c r="BV271" s="416"/>
      <c r="BW271" s="416"/>
      <c r="BX271" s="416"/>
      <c r="BY271" s="416"/>
      <c r="BZ271" s="416"/>
      <c r="CA271" s="423"/>
      <c r="CB271" s="416"/>
      <c r="CC271" s="416"/>
      <c r="CD271" s="416"/>
      <c r="CE271" s="416"/>
      <c r="CF271" s="416"/>
      <c r="CG271" s="416"/>
      <c r="CH271" s="416"/>
      <c r="CI271" s="416"/>
      <c r="CJ271" s="423"/>
      <c r="CK271" s="152"/>
      <c r="CL271" s="152"/>
      <c r="CM271" s="152"/>
      <c r="CN271" s="152"/>
      <c r="CO271" s="152"/>
    </row>
    <row r="272" spans="1:94" s="62" customFormat="1" ht="12" customHeight="1" x14ac:dyDescent="0.25">
      <c r="A272" s="265"/>
      <c r="C272" s="402"/>
      <c r="D272" s="402"/>
      <c r="E272" s="402"/>
      <c r="F272" s="402"/>
      <c r="G272" s="402"/>
      <c r="H272" s="367" t="str">
        <f>IF(AND(G231="No",G233&gt;=1,C270="",D417&lt;&gt;""),1,"")</f>
        <v/>
      </c>
      <c r="I272" s="402"/>
      <c r="J272" s="402"/>
      <c r="K272" s="402"/>
      <c r="L272" s="402"/>
      <c r="M272" s="402"/>
      <c r="N272" s="402"/>
      <c r="O272" s="367" t="str">
        <f>IF(AND(G231="No",G233&gt;=2,I270="",D417&lt;&gt;""),1,"")</f>
        <v/>
      </c>
      <c r="P272" s="402"/>
      <c r="Q272" s="402"/>
      <c r="R272" s="402"/>
      <c r="S272" s="402"/>
      <c r="T272" s="402"/>
      <c r="U272" s="402"/>
      <c r="V272" s="402"/>
      <c r="W272" s="402"/>
      <c r="X272" s="367" t="str">
        <f>IF(AND(G231="No",G233&gt;=3,P270="",D417&lt;&gt;""),1,"")</f>
        <v/>
      </c>
      <c r="Y272" s="402"/>
      <c r="Z272" s="402"/>
      <c r="AA272" s="402"/>
      <c r="AB272" s="402"/>
      <c r="AC272" s="402"/>
      <c r="AD272" s="402"/>
      <c r="AE272" s="402"/>
      <c r="AF272" s="402"/>
      <c r="AG272" s="367" t="str">
        <f>IF(AND(G231="No",G233&gt;=4,Y270="",D417&lt;&gt;""),1,"")</f>
        <v/>
      </c>
      <c r="AH272" s="135"/>
      <c r="AI272" s="416"/>
      <c r="AJ272" s="416"/>
      <c r="AK272" s="416"/>
      <c r="AL272" s="416"/>
      <c r="AM272" s="416"/>
      <c r="AN272" s="416"/>
      <c r="AO272" s="416"/>
      <c r="AP272" s="416"/>
      <c r="AQ272" s="367" t="str">
        <f>IF(AND(G231="No",G233&gt;=5,AI270="",D417&lt;&gt;""),1,"")</f>
        <v/>
      </c>
      <c r="AR272" s="416"/>
      <c r="AS272" s="416"/>
      <c r="AT272" s="416"/>
      <c r="AU272" s="416"/>
      <c r="AV272" s="416"/>
      <c r="AW272" s="416"/>
      <c r="AX272" s="416"/>
      <c r="AY272" s="416"/>
      <c r="AZ272" s="278" t="str">
        <f>IF(AND(G231="No",G233&gt;=6,AR270="",D417&lt;&gt;""),1,"")</f>
        <v/>
      </c>
      <c r="BA272" s="416"/>
      <c r="BB272" s="416"/>
      <c r="BC272" s="416"/>
      <c r="BD272" s="416"/>
      <c r="BE272" s="416"/>
      <c r="BF272" s="416"/>
      <c r="BG272" s="416"/>
      <c r="BH272" s="416"/>
      <c r="BI272" s="367" t="str">
        <f>IF(AND(G231="No",G233&gt;=7,BA270="",D417&lt;&gt;""),1,"")</f>
        <v/>
      </c>
      <c r="BJ272" s="416"/>
      <c r="BK272" s="416"/>
      <c r="BL272" s="416"/>
      <c r="BM272" s="416"/>
      <c r="BN272" s="416"/>
      <c r="BO272" s="416"/>
      <c r="BP272" s="416"/>
      <c r="BQ272" s="416"/>
      <c r="BR272" s="278" t="str">
        <f>IF(AND(G231="No",G233&gt;=8,BJ270="",D417&lt;&gt;""),1,"")</f>
        <v/>
      </c>
      <c r="BS272" s="416"/>
      <c r="BT272" s="416"/>
      <c r="BU272" s="416"/>
      <c r="BV272" s="416"/>
      <c r="BW272" s="416"/>
      <c r="BX272" s="416"/>
      <c r="BY272" s="416"/>
      <c r="BZ272" s="416"/>
      <c r="CA272" s="367" t="str">
        <f>IF(AND(G231="No",G233&gt;=9,BS270="",D417&lt;&gt;""),1,"")</f>
        <v/>
      </c>
      <c r="CB272" s="416"/>
      <c r="CC272" s="416"/>
      <c r="CD272" s="416"/>
      <c r="CE272" s="416"/>
      <c r="CF272" s="416"/>
      <c r="CG272" s="416"/>
      <c r="CH272" s="416"/>
      <c r="CI272" s="416"/>
      <c r="CJ272" s="367" t="str">
        <f>IF(AND(G231="No",G233&gt;=10,CB270="",D417&lt;&gt;""),1,"")</f>
        <v/>
      </c>
      <c r="CK272" s="152"/>
      <c r="CL272" s="152"/>
      <c r="CM272" s="152"/>
      <c r="CN272" s="152"/>
      <c r="CO272" s="152"/>
    </row>
    <row r="273" spans="1:93" s="62" customFormat="1" ht="12" customHeight="1" x14ac:dyDescent="0.25">
      <c r="A273" s="265"/>
      <c r="C273" s="402"/>
      <c r="D273" s="402"/>
      <c r="E273" s="402"/>
      <c r="F273" s="402"/>
      <c r="G273" s="402"/>
      <c r="H273" s="135"/>
      <c r="I273" s="402"/>
      <c r="J273" s="402"/>
      <c r="K273" s="402"/>
      <c r="L273" s="402"/>
      <c r="M273" s="402"/>
      <c r="N273" s="402"/>
      <c r="O273" s="135"/>
      <c r="P273" s="402"/>
      <c r="Q273" s="402"/>
      <c r="R273" s="402"/>
      <c r="S273" s="402"/>
      <c r="T273" s="402"/>
      <c r="U273" s="402"/>
      <c r="V273" s="402"/>
      <c r="W273" s="402"/>
      <c r="X273" s="135"/>
      <c r="Y273" s="402"/>
      <c r="Z273" s="402"/>
      <c r="AA273" s="402"/>
      <c r="AB273" s="402"/>
      <c r="AC273" s="402"/>
      <c r="AD273" s="402"/>
      <c r="AE273" s="402"/>
      <c r="AF273" s="402"/>
      <c r="AG273" s="135"/>
      <c r="AH273" s="135"/>
      <c r="AI273" s="416"/>
      <c r="AJ273" s="416"/>
      <c r="AK273" s="416"/>
      <c r="AL273" s="416"/>
      <c r="AM273" s="416"/>
      <c r="AN273" s="416"/>
      <c r="AO273" s="416"/>
      <c r="AP273" s="416"/>
      <c r="AQ273" s="152"/>
      <c r="AR273" s="416"/>
      <c r="AS273" s="416"/>
      <c r="AT273" s="416"/>
      <c r="AU273" s="416"/>
      <c r="AV273" s="416"/>
      <c r="AW273" s="416"/>
      <c r="AX273" s="416"/>
      <c r="AY273" s="416"/>
      <c r="AZ273" s="116"/>
      <c r="BA273" s="416"/>
      <c r="BB273" s="416"/>
      <c r="BC273" s="416"/>
      <c r="BD273" s="416"/>
      <c r="BE273" s="416"/>
      <c r="BF273" s="416"/>
      <c r="BG273" s="416"/>
      <c r="BH273" s="416"/>
      <c r="BI273" s="152"/>
      <c r="BJ273" s="416"/>
      <c r="BK273" s="416"/>
      <c r="BL273" s="416"/>
      <c r="BM273" s="416"/>
      <c r="BN273" s="416"/>
      <c r="BO273" s="416"/>
      <c r="BP273" s="416"/>
      <c r="BQ273" s="416"/>
      <c r="BR273" s="116"/>
      <c r="BS273" s="416"/>
      <c r="BT273" s="416"/>
      <c r="BU273" s="416"/>
      <c r="BV273" s="416"/>
      <c r="BW273" s="416"/>
      <c r="BX273" s="416"/>
      <c r="BY273" s="416"/>
      <c r="BZ273" s="416"/>
      <c r="CA273" s="152"/>
      <c r="CB273" s="416"/>
      <c r="CC273" s="416"/>
      <c r="CD273" s="416"/>
      <c r="CE273" s="416"/>
      <c r="CF273" s="416"/>
      <c r="CG273" s="416"/>
      <c r="CH273" s="416"/>
      <c r="CI273" s="416"/>
      <c r="CJ273" s="152"/>
      <c r="CK273" s="152"/>
      <c r="CL273" s="152"/>
      <c r="CM273" s="152"/>
      <c r="CN273" s="152"/>
      <c r="CO273" s="152"/>
    </row>
    <row r="274" spans="1:93" s="62" customFormat="1" ht="12" customHeight="1" x14ac:dyDescent="0.25">
      <c r="A274" s="265"/>
      <c r="C274" s="402"/>
      <c r="D274" s="402"/>
      <c r="E274" s="402"/>
      <c r="F274" s="402"/>
      <c r="G274" s="402"/>
      <c r="H274" s="135"/>
      <c r="I274" s="402"/>
      <c r="J274" s="402"/>
      <c r="K274" s="402"/>
      <c r="L274" s="402"/>
      <c r="M274" s="402"/>
      <c r="N274" s="402"/>
      <c r="O274" s="135"/>
      <c r="P274" s="402"/>
      <c r="Q274" s="402"/>
      <c r="R274" s="402"/>
      <c r="S274" s="402"/>
      <c r="T274" s="402"/>
      <c r="U274" s="402"/>
      <c r="V274" s="402"/>
      <c r="W274" s="402"/>
      <c r="X274" s="135"/>
      <c r="Y274" s="402"/>
      <c r="Z274" s="402"/>
      <c r="AA274" s="402"/>
      <c r="AB274" s="402"/>
      <c r="AC274" s="402"/>
      <c r="AD274" s="402"/>
      <c r="AE274" s="402"/>
      <c r="AF274" s="402"/>
      <c r="AG274" s="135"/>
      <c r="AH274" s="135"/>
      <c r="AI274" s="416"/>
      <c r="AJ274" s="416"/>
      <c r="AK274" s="416"/>
      <c r="AL274" s="416"/>
      <c r="AM274" s="416"/>
      <c r="AN274" s="416"/>
      <c r="AO274" s="416"/>
      <c r="AP274" s="416"/>
      <c r="AQ274" s="152"/>
      <c r="AR274" s="416"/>
      <c r="AS274" s="416"/>
      <c r="AT274" s="416"/>
      <c r="AU274" s="416"/>
      <c r="AV274" s="416"/>
      <c r="AW274" s="416"/>
      <c r="AX274" s="416"/>
      <c r="AY274" s="416"/>
      <c r="AZ274" s="116"/>
      <c r="BA274" s="416"/>
      <c r="BB274" s="416"/>
      <c r="BC274" s="416"/>
      <c r="BD274" s="416"/>
      <c r="BE274" s="416"/>
      <c r="BF274" s="416"/>
      <c r="BG274" s="416"/>
      <c r="BH274" s="416"/>
      <c r="BI274" s="152"/>
      <c r="BJ274" s="416"/>
      <c r="BK274" s="416"/>
      <c r="BL274" s="416"/>
      <c r="BM274" s="416"/>
      <c r="BN274" s="416"/>
      <c r="BO274" s="416"/>
      <c r="BP274" s="416"/>
      <c r="BQ274" s="416"/>
      <c r="BR274" s="116"/>
      <c r="BS274" s="416"/>
      <c r="BT274" s="416"/>
      <c r="BU274" s="416"/>
      <c r="BV274" s="416"/>
      <c r="BW274" s="416"/>
      <c r="BX274" s="416"/>
      <c r="BY274" s="416"/>
      <c r="BZ274" s="416"/>
      <c r="CA274" s="152"/>
      <c r="CB274" s="416"/>
      <c r="CC274" s="416"/>
      <c r="CD274" s="416"/>
      <c r="CE274" s="416"/>
      <c r="CF274" s="416"/>
      <c r="CG274" s="416"/>
      <c r="CH274" s="416"/>
      <c r="CI274" s="416"/>
      <c r="CJ274" s="152"/>
      <c r="CK274" s="152"/>
      <c r="CL274" s="152"/>
      <c r="CM274" s="152"/>
      <c r="CN274" s="152"/>
      <c r="CO274" s="152"/>
    </row>
    <row r="275" spans="1:93" s="62" customFormat="1" ht="12" customHeight="1" x14ac:dyDescent="0.25">
      <c r="A275" s="265"/>
      <c r="C275" s="402"/>
      <c r="D275" s="402"/>
      <c r="E275" s="402"/>
      <c r="F275" s="402"/>
      <c r="G275" s="402"/>
      <c r="H275" s="135"/>
      <c r="I275" s="402"/>
      <c r="J275" s="402"/>
      <c r="K275" s="402"/>
      <c r="L275" s="402"/>
      <c r="M275" s="402"/>
      <c r="N275" s="402"/>
      <c r="O275" s="135"/>
      <c r="P275" s="402"/>
      <c r="Q275" s="402"/>
      <c r="R275" s="402"/>
      <c r="S275" s="402"/>
      <c r="T275" s="402"/>
      <c r="U275" s="402"/>
      <c r="V275" s="402"/>
      <c r="W275" s="402"/>
      <c r="X275" s="135"/>
      <c r="Y275" s="402"/>
      <c r="Z275" s="402"/>
      <c r="AA275" s="402"/>
      <c r="AB275" s="402"/>
      <c r="AC275" s="402"/>
      <c r="AD275" s="402"/>
      <c r="AE275" s="402"/>
      <c r="AF275" s="402"/>
      <c r="AG275" s="135"/>
      <c r="AH275" s="135"/>
      <c r="AI275" s="416"/>
      <c r="AJ275" s="416"/>
      <c r="AK275" s="416"/>
      <c r="AL275" s="416"/>
      <c r="AM275" s="416"/>
      <c r="AN275" s="416"/>
      <c r="AO275" s="416"/>
      <c r="AP275" s="416"/>
      <c r="AQ275" s="152"/>
      <c r="AR275" s="416"/>
      <c r="AS275" s="416"/>
      <c r="AT275" s="416"/>
      <c r="AU275" s="416"/>
      <c r="AV275" s="416"/>
      <c r="AW275" s="416"/>
      <c r="AX275" s="416"/>
      <c r="AY275" s="416"/>
      <c r="AZ275" s="116"/>
      <c r="BA275" s="416"/>
      <c r="BB275" s="416"/>
      <c r="BC275" s="416"/>
      <c r="BD275" s="416"/>
      <c r="BE275" s="416"/>
      <c r="BF275" s="416"/>
      <c r="BG275" s="416"/>
      <c r="BH275" s="416"/>
      <c r="BI275" s="152"/>
      <c r="BJ275" s="416"/>
      <c r="BK275" s="416"/>
      <c r="BL275" s="416"/>
      <c r="BM275" s="416"/>
      <c r="BN275" s="416"/>
      <c r="BO275" s="416"/>
      <c r="BP275" s="416"/>
      <c r="BQ275" s="416"/>
      <c r="BR275" s="116"/>
      <c r="BS275" s="416"/>
      <c r="BT275" s="416"/>
      <c r="BU275" s="416"/>
      <c r="BV275" s="416"/>
      <c r="BW275" s="416"/>
      <c r="BX275" s="416"/>
      <c r="BY275" s="416"/>
      <c r="BZ275" s="416"/>
      <c r="CA275" s="152"/>
      <c r="CB275" s="416"/>
      <c r="CC275" s="416"/>
      <c r="CD275" s="416"/>
      <c r="CE275" s="416"/>
      <c r="CF275" s="416"/>
      <c r="CG275" s="416"/>
      <c r="CH275" s="416"/>
      <c r="CI275" s="416"/>
      <c r="CJ275" s="152"/>
      <c r="CK275" s="152"/>
      <c r="CL275" s="152"/>
      <c r="CM275" s="152"/>
      <c r="CN275" s="152"/>
      <c r="CO275" s="152"/>
    </row>
    <row r="276" spans="1:93" s="62" customFormat="1" ht="12" customHeight="1" x14ac:dyDescent="0.25">
      <c r="A276" s="265"/>
      <c r="C276" s="402"/>
      <c r="D276" s="402"/>
      <c r="E276" s="402"/>
      <c r="F276" s="402"/>
      <c r="G276" s="402"/>
      <c r="H276" s="135"/>
      <c r="I276" s="402"/>
      <c r="J276" s="402"/>
      <c r="K276" s="402"/>
      <c r="L276" s="402"/>
      <c r="M276" s="402"/>
      <c r="N276" s="402"/>
      <c r="O276" s="135"/>
      <c r="P276" s="402"/>
      <c r="Q276" s="402"/>
      <c r="R276" s="402"/>
      <c r="S276" s="402"/>
      <c r="T276" s="402"/>
      <c r="U276" s="402"/>
      <c r="V276" s="402"/>
      <c r="W276" s="402"/>
      <c r="X276" s="135"/>
      <c r="Y276" s="402"/>
      <c r="Z276" s="402"/>
      <c r="AA276" s="402"/>
      <c r="AB276" s="402"/>
      <c r="AC276" s="402"/>
      <c r="AD276" s="402"/>
      <c r="AE276" s="402"/>
      <c r="AF276" s="402"/>
      <c r="AG276" s="135"/>
      <c r="AH276" s="135"/>
      <c r="AI276" s="416"/>
      <c r="AJ276" s="416"/>
      <c r="AK276" s="416"/>
      <c r="AL276" s="416"/>
      <c r="AM276" s="416"/>
      <c r="AN276" s="416"/>
      <c r="AO276" s="416"/>
      <c r="AP276" s="416"/>
      <c r="AQ276" s="152"/>
      <c r="AR276" s="416"/>
      <c r="AS276" s="416"/>
      <c r="AT276" s="416"/>
      <c r="AU276" s="416"/>
      <c r="AV276" s="416"/>
      <c r="AW276" s="416"/>
      <c r="AX276" s="416"/>
      <c r="AY276" s="416"/>
      <c r="AZ276" s="116"/>
      <c r="BA276" s="416"/>
      <c r="BB276" s="416"/>
      <c r="BC276" s="416"/>
      <c r="BD276" s="416"/>
      <c r="BE276" s="416"/>
      <c r="BF276" s="416"/>
      <c r="BG276" s="416"/>
      <c r="BH276" s="416"/>
      <c r="BI276" s="152"/>
      <c r="BJ276" s="416"/>
      <c r="BK276" s="416"/>
      <c r="BL276" s="416"/>
      <c r="BM276" s="416"/>
      <c r="BN276" s="416"/>
      <c r="BO276" s="416"/>
      <c r="BP276" s="416"/>
      <c r="BQ276" s="416"/>
      <c r="BR276" s="116"/>
      <c r="BS276" s="416"/>
      <c r="BT276" s="416"/>
      <c r="BU276" s="416"/>
      <c r="BV276" s="416"/>
      <c r="BW276" s="416"/>
      <c r="BX276" s="416"/>
      <c r="BY276" s="416"/>
      <c r="BZ276" s="416"/>
      <c r="CA276" s="152"/>
      <c r="CB276" s="416"/>
      <c r="CC276" s="416"/>
      <c r="CD276" s="416"/>
      <c r="CE276" s="416"/>
      <c r="CF276" s="416"/>
      <c r="CG276" s="416"/>
      <c r="CH276" s="416"/>
      <c r="CI276" s="416"/>
      <c r="CJ276" s="152"/>
      <c r="CK276" s="152"/>
      <c r="CL276" s="152"/>
      <c r="CM276" s="152"/>
      <c r="CN276" s="152"/>
      <c r="CO276" s="152"/>
    </row>
    <row r="277" spans="1:93" s="62" customFormat="1" ht="12" customHeight="1" x14ac:dyDescent="0.25">
      <c r="A277" s="265"/>
      <c r="C277" s="402"/>
      <c r="D277" s="402"/>
      <c r="E277" s="402"/>
      <c r="F277" s="402"/>
      <c r="G277" s="402"/>
      <c r="H277" s="135"/>
      <c r="I277" s="402"/>
      <c r="J277" s="402"/>
      <c r="K277" s="402"/>
      <c r="L277" s="402"/>
      <c r="M277" s="402"/>
      <c r="N277" s="402"/>
      <c r="O277" s="135"/>
      <c r="P277" s="402"/>
      <c r="Q277" s="402"/>
      <c r="R277" s="402"/>
      <c r="S277" s="402"/>
      <c r="T277" s="402"/>
      <c r="U277" s="402"/>
      <c r="V277" s="402"/>
      <c r="W277" s="402"/>
      <c r="X277" s="135"/>
      <c r="Y277" s="402"/>
      <c r="Z277" s="402"/>
      <c r="AA277" s="402"/>
      <c r="AB277" s="402"/>
      <c r="AC277" s="402"/>
      <c r="AD277" s="402"/>
      <c r="AE277" s="402"/>
      <c r="AF277" s="402"/>
      <c r="AG277" s="135"/>
      <c r="AH277" s="135"/>
      <c r="AI277" s="416"/>
      <c r="AJ277" s="416"/>
      <c r="AK277" s="416"/>
      <c r="AL277" s="416"/>
      <c r="AM277" s="416"/>
      <c r="AN277" s="416"/>
      <c r="AO277" s="416"/>
      <c r="AP277" s="416"/>
      <c r="AQ277" s="152"/>
      <c r="AR277" s="416"/>
      <c r="AS277" s="416"/>
      <c r="AT277" s="416"/>
      <c r="AU277" s="416"/>
      <c r="AV277" s="416"/>
      <c r="AW277" s="416"/>
      <c r="AX277" s="416"/>
      <c r="AY277" s="416"/>
      <c r="AZ277" s="116"/>
      <c r="BA277" s="416"/>
      <c r="BB277" s="416"/>
      <c r="BC277" s="416"/>
      <c r="BD277" s="416"/>
      <c r="BE277" s="416"/>
      <c r="BF277" s="416"/>
      <c r="BG277" s="416"/>
      <c r="BH277" s="416"/>
      <c r="BI277" s="152"/>
      <c r="BJ277" s="416"/>
      <c r="BK277" s="416"/>
      <c r="BL277" s="416"/>
      <c r="BM277" s="416"/>
      <c r="BN277" s="416"/>
      <c r="BO277" s="416"/>
      <c r="BP277" s="416"/>
      <c r="BQ277" s="416"/>
      <c r="BR277" s="116"/>
      <c r="BS277" s="416"/>
      <c r="BT277" s="416"/>
      <c r="BU277" s="416"/>
      <c r="BV277" s="416"/>
      <c r="BW277" s="416"/>
      <c r="BX277" s="416"/>
      <c r="BY277" s="416"/>
      <c r="BZ277" s="416"/>
      <c r="CA277" s="152"/>
      <c r="CB277" s="416"/>
      <c r="CC277" s="416"/>
      <c r="CD277" s="416"/>
      <c r="CE277" s="416"/>
      <c r="CF277" s="416"/>
      <c r="CG277" s="416"/>
      <c r="CH277" s="416"/>
      <c r="CI277" s="416"/>
      <c r="CJ277" s="152"/>
      <c r="CK277" s="152"/>
      <c r="CL277" s="152"/>
      <c r="CM277" s="152"/>
      <c r="CN277" s="152"/>
      <c r="CO277" s="152"/>
    </row>
    <row r="278" spans="1:93" s="62" customFormat="1" ht="12" customHeight="1" x14ac:dyDescent="0.25">
      <c r="A278" s="265"/>
      <c r="C278" s="402"/>
      <c r="D278" s="402"/>
      <c r="E278" s="402"/>
      <c r="F278" s="402"/>
      <c r="G278" s="402"/>
      <c r="H278" s="135"/>
      <c r="I278" s="402"/>
      <c r="J278" s="402"/>
      <c r="K278" s="402"/>
      <c r="L278" s="402"/>
      <c r="M278" s="402"/>
      <c r="N278" s="402"/>
      <c r="O278" s="135"/>
      <c r="P278" s="402"/>
      <c r="Q278" s="402"/>
      <c r="R278" s="402"/>
      <c r="S278" s="402"/>
      <c r="T278" s="402"/>
      <c r="U278" s="402"/>
      <c r="V278" s="402"/>
      <c r="W278" s="402"/>
      <c r="X278" s="135"/>
      <c r="Y278" s="402"/>
      <c r="Z278" s="402"/>
      <c r="AA278" s="402"/>
      <c r="AB278" s="402"/>
      <c r="AC278" s="402"/>
      <c r="AD278" s="402"/>
      <c r="AE278" s="402"/>
      <c r="AF278" s="402"/>
      <c r="AG278" s="135"/>
      <c r="AH278" s="135"/>
      <c r="AI278" s="416"/>
      <c r="AJ278" s="416"/>
      <c r="AK278" s="416"/>
      <c r="AL278" s="416"/>
      <c r="AM278" s="416"/>
      <c r="AN278" s="416"/>
      <c r="AO278" s="416"/>
      <c r="AP278" s="416"/>
      <c r="AQ278" s="152"/>
      <c r="AR278" s="416"/>
      <c r="AS278" s="416"/>
      <c r="AT278" s="416"/>
      <c r="AU278" s="416"/>
      <c r="AV278" s="416"/>
      <c r="AW278" s="416"/>
      <c r="AX278" s="416"/>
      <c r="AY278" s="416"/>
      <c r="AZ278" s="116"/>
      <c r="BA278" s="416"/>
      <c r="BB278" s="416"/>
      <c r="BC278" s="416"/>
      <c r="BD278" s="416"/>
      <c r="BE278" s="416"/>
      <c r="BF278" s="416"/>
      <c r="BG278" s="416"/>
      <c r="BH278" s="416"/>
      <c r="BI278" s="152"/>
      <c r="BJ278" s="416"/>
      <c r="BK278" s="416"/>
      <c r="BL278" s="416"/>
      <c r="BM278" s="416"/>
      <c r="BN278" s="416"/>
      <c r="BO278" s="416"/>
      <c r="BP278" s="416"/>
      <c r="BQ278" s="416"/>
      <c r="BR278" s="116"/>
      <c r="BS278" s="416"/>
      <c r="BT278" s="416"/>
      <c r="BU278" s="416"/>
      <c r="BV278" s="416"/>
      <c r="BW278" s="416"/>
      <c r="BX278" s="416"/>
      <c r="BY278" s="416"/>
      <c r="BZ278" s="416"/>
      <c r="CA278" s="152"/>
      <c r="CB278" s="416"/>
      <c r="CC278" s="416"/>
      <c r="CD278" s="416"/>
      <c r="CE278" s="416"/>
      <c r="CF278" s="416"/>
      <c r="CG278" s="416"/>
      <c r="CH278" s="416"/>
      <c r="CI278" s="416"/>
      <c r="CJ278" s="152"/>
      <c r="CK278" s="152"/>
      <c r="CL278" s="152"/>
      <c r="CM278" s="152"/>
      <c r="CN278" s="152"/>
      <c r="CO278" s="152"/>
    </row>
    <row r="279" spans="1:93" s="62" customFormat="1" ht="12" customHeight="1" x14ac:dyDescent="0.25">
      <c r="A279" s="265"/>
      <c r="C279" s="402"/>
      <c r="D279" s="402"/>
      <c r="E279" s="402"/>
      <c r="F279" s="402"/>
      <c r="G279" s="402"/>
      <c r="H279" s="135"/>
      <c r="I279" s="402"/>
      <c r="J279" s="402"/>
      <c r="K279" s="402"/>
      <c r="L279" s="402"/>
      <c r="M279" s="402"/>
      <c r="N279" s="402"/>
      <c r="O279" s="135"/>
      <c r="P279" s="402"/>
      <c r="Q279" s="402"/>
      <c r="R279" s="402"/>
      <c r="S279" s="402"/>
      <c r="T279" s="402"/>
      <c r="U279" s="402"/>
      <c r="V279" s="402"/>
      <c r="W279" s="402"/>
      <c r="X279" s="135"/>
      <c r="Y279" s="402"/>
      <c r="Z279" s="402"/>
      <c r="AA279" s="402"/>
      <c r="AB279" s="402"/>
      <c r="AC279" s="402"/>
      <c r="AD279" s="402"/>
      <c r="AE279" s="402"/>
      <c r="AF279" s="402"/>
      <c r="AG279" s="135"/>
      <c r="AH279" s="135"/>
      <c r="AI279" s="416"/>
      <c r="AJ279" s="416"/>
      <c r="AK279" s="416"/>
      <c r="AL279" s="416"/>
      <c r="AM279" s="416"/>
      <c r="AN279" s="416"/>
      <c r="AO279" s="416"/>
      <c r="AP279" s="416"/>
      <c r="AQ279" s="152"/>
      <c r="AR279" s="416"/>
      <c r="AS279" s="416"/>
      <c r="AT279" s="416"/>
      <c r="AU279" s="416"/>
      <c r="AV279" s="416"/>
      <c r="AW279" s="416"/>
      <c r="AX279" s="416"/>
      <c r="AY279" s="416"/>
      <c r="AZ279" s="116"/>
      <c r="BA279" s="416"/>
      <c r="BB279" s="416"/>
      <c r="BC279" s="416"/>
      <c r="BD279" s="416"/>
      <c r="BE279" s="416"/>
      <c r="BF279" s="416"/>
      <c r="BG279" s="416"/>
      <c r="BH279" s="416"/>
      <c r="BI279" s="152"/>
      <c r="BJ279" s="416"/>
      <c r="BK279" s="416"/>
      <c r="BL279" s="416"/>
      <c r="BM279" s="416"/>
      <c r="BN279" s="416"/>
      <c r="BO279" s="416"/>
      <c r="BP279" s="416"/>
      <c r="BQ279" s="416"/>
      <c r="BR279" s="116"/>
      <c r="BS279" s="416"/>
      <c r="BT279" s="416"/>
      <c r="BU279" s="416"/>
      <c r="BV279" s="416"/>
      <c r="BW279" s="416"/>
      <c r="BX279" s="416"/>
      <c r="BY279" s="416"/>
      <c r="BZ279" s="416"/>
      <c r="CA279" s="152"/>
      <c r="CB279" s="416"/>
      <c r="CC279" s="416"/>
      <c r="CD279" s="416"/>
      <c r="CE279" s="416"/>
      <c r="CF279" s="416"/>
      <c r="CG279" s="416"/>
      <c r="CH279" s="416"/>
      <c r="CI279" s="416"/>
      <c r="CJ279" s="152"/>
      <c r="CK279" s="152"/>
      <c r="CL279" s="152"/>
      <c r="CM279" s="152"/>
      <c r="CN279" s="152"/>
      <c r="CO279" s="152"/>
    </row>
    <row r="280" spans="1:93" s="62" customFormat="1" ht="12" customHeight="1" x14ac:dyDescent="0.25">
      <c r="A280" s="265"/>
      <c r="C280" s="402"/>
      <c r="D280" s="402"/>
      <c r="E280" s="402"/>
      <c r="F280" s="402"/>
      <c r="G280" s="402"/>
      <c r="H280" s="135"/>
      <c r="I280" s="402"/>
      <c r="J280" s="402"/>
      <c r="K280" s="402"/>
      <c r="L280" s="402"/>
      <c r="M280" s="402"/>
      <c r="N280" s="402"/>
      <c r="O280" s="135"/>
      <c r="P280" s="402"/>
      <c r="Q280" s="402"/>
      <c r="R280" s="402"/>
      <c r="S280" s="402"/>
      <c r="T280" s="402"/>
      <c r="U280" s="402"/>
      <c r="V280" s="402"/>
      <c r="W280" s="402"/>
      <c r="X280" s="135"/>
      <c r="Y280" s="402"/>
      <c r="Z280" s="402"/>
      <c r="AA280" s="402"/>
      <c r="AB280" s="402"/>
      <c r="AC280" s="402"/>
      <c r="AD280" s="402"/>
      <c r="AE280" s="402"/>
      <c r="AF280" s="402"/>
      <c r="AG280" s="135"/>
      <c r="AH280" s="135"/>
      <c r="AI280" s="416"/>
      <c r="AJ280" s="416"/>
      <c r="AK280" s="416"/>
      <c r="AL280" s="416"/>
      <c r="AM280" s="416"/>
      <c r="AN280" s="416"/>
      <c r="AO280" s="416"/>
      <c r="AP280" s="416"/>
      <c r="AQ280" s="152"/>
      <c r="AR280" s="416"/>
      <c r="AS280" s="416"/>
      <c r="AT280" s="416"/>
      <c r="AU280" s="416"/>
      <c r="AV280" s="416"/>
      <c r="AW280" s="416"/>
      <c r="AX280" s="416"/>
      <c r="AY280" s="416"/>
      <c r="AZ280" s="116"/>
      <c r="BA280" s="416"/>
      <c r="BB280" s="416"/>
      <c r="BC280" s="416"/>
      <c r="BD280" s="416"/>
      <c r="BE280" s="416"/>
      <c r="BF280" s="416"/>
      <c r="BG280" s="416"/>
      <c r="BH280" s="416"/>
      <c r="BI280" s="152"/>
      <c r="BJ280" s="416"/>
      <c r="BK280" s="416"/>
      <c r="BL280" s="416"/>
      <c r="BM280" s="416"/>
      <c r="BN280" s="416"/>
      <c r="BO280" s="416"/>
      <c r="BP280" s="416"/>
      <c r="BQ280" s="416"/>
      <c r="BR280" s="116"/>
      <c r="BS280" s="416"/>
      <c r="BT280" s="416"/>
      <c r="BU280" s="416"/>
      <c r="BV280" s="416"/>
      <c r="BW280" s="416"/>
      <c r="BX280" s="416"/>
      <c r="BY280" s="416"/>
      <c r="BZ280" s="416"/>
      <c r="CA280" s="152"/>
      <c r="CB280" s="416"/>
      <c r="CC280" s="416"/>
      <c r="CD280" s="416"/>
      <c r="CE280" s="416"/>
      <c r="CF280" s="416"/>
      <c r="CG280" s="416"/>
      <c r="CH280" s="416"/>
      <c r="CI280" s="416"/>
      <c r="CJ280" s="152"/>
      <c r="CK280" s="152"/>
      <c r="CL280" s="152"/>
      <c r="CM280" s="152"/>
      <c r="CN280" s="152"/>
      <c r="CO280" s="152"/>
    </row>
    <row r="281" spans="1:93" s="62" customFormat="1" ht="12" customHeight="1" x14ac:dyDescent="0.25">
      <c r="A281" s="265"/>
      <c r="C281" s="402"/>
      <c r="D281" s="402"/>
      <c r="E281" s="402"/>
      <c r="F281" s="402"/>
      <c r="G281" s="402"/>
      <c r="H281" s="135"/>
      <c r="I281" s="402"/>
      <c r="J281" s="402"/>
      <c r="K281" s="402"/>
      <c r="L281" s="402"/>
      <c r="M281" s="402"/>
      <c r="N281" s="402"/>
      <c r="O281" s="135"/>
      <c r="P281" s="402"/>
      <c r="Q281" s="402"/>
      <c r="R281" s="402"/>
      <c r="S281" s="402"/>
      <c r="T281" s="402"/>
      <c r="U281" s="402"/>
      <c r="V281" s="402"/>
      <c r="W281" s="402"/>
      <c r="X281" s="135"/>
      <c r="Y281" s="402"/>
      <c r="Z281" s="402"/>
      <c r="AA281" s="402"/>
      <c r="AB281" s="402"/>
      <c r="AC281" s="402"/>
      <c r="AD281" s="402"/>
      <c r="AE281" s="402"/>
      <c r="AF281" s="402"/>
      <c r="AG281" s="135"/>
      <c r="AH281" s="135"/>
      <c r="AI281" s="416"/>
      <c r="AJ281" s="416"/>
      <c r="AK281" s="416"/>
      <c r="AL281" s="416"/>
      <c r="AM281" s="416"/>
      <c r="AN281" s="416"/>
      <c r="AO281" s="416"/>
      <c r="AP281" s="416"/>
      <c r="AQ281" s="152"/>
      <c r="AR281" s="416"/>
      <c r="AS281" s="416"/>
      <c r="AT281" s="416"/>
      <c r="AU281" s="416"/>
      <c r="AV281" s="416"/>
      <c r="AW281" s="416"/>
      <c r="AX281" s="416"/>
      <c r="AY281" s="416"/>
      <c r="AZ281" s="116"/>
      <c r="BA281" s="416"/>
      <c r="BB281" s="416"/>
      <c r="BC281" s="416"/>
      <c r="BD281" s="416"/>
      <c r="BE281" s="416"/>
      <c r="BF281" s="416"/>
      <c r="BG281" s="416"/>
      <c r="BH281" s="416"/>
      <c r="BI281" s="152"/>
      <c r="BJ281" s="416"/>
      <c r="BK281" s="416"/>
      <c r="BL281" s="416"/>
      <c r="BM281" s="416"/>
      <c r="BN281" s="416"/>
      <c r="BO281" s="416"/>
      <c r="BP281" s="416"/>
      <c r="BQ281" s="416"/>
      <c r="BR281" s="116"/>
      <c r="BS281" s="416"/>
      <c r="BT281" s="416"/>
      <c r="BU281" s="416"/>
      <c r="BV281" s="416"/>
      <c r="BW281" s="416"/>
      <c r="BX281" s="416"/>
      <c r="BY281" s="416"/>
      <c r="BZ281" s="416"/>
      <c r="CA281" s="152"/>
      <c r="CB281" s="416"/>
      <c r="CC281" s="416"/>
      <c r="CD281" s="416"/>
      <c r="CE281" s="416"/>
      <c r="CF281" s="416"/>
      <c r="CG281" s="416"/>
      <c r="CH281" s="416"/>
      <c r="CI281" s="416"/>
      <c r="CJ281" s="152"/>
      <c r="CK281" s="152"/>
      <c r="CL281" s="152"/>
      <c r="CM281" s="152"/>
      <c r="CN281" s="152"/>
      <c r="CO281" s="152"/>
    </row>
    <row r="282" spans="1:93" s="62" customFormat="1" ht="12" customHeight="1" x14ac:dyDescent="0.25">
      <c r="A282" s="265"/>
      <c r="C282" s="402"/>
      <c r="D282" s="402"/>
      <c r="E282" s="402"/>
      <c r="F282" s="402"/>
      <c r="G282" s="402"/>
      <c r="H282" s="135"/>
      <c r="I282" s="402"/>
      <c r="J282" s="402"/>
      <c r="K282" s="402"/>
      <c r="L282" s="402"/>
      <c r="M282" s="402"/>
      <c r="N282" s="402"/>
      <c r="O282" s="135"/>
      <c r="P282" s="402"/>
      <c r="Q282" s="402"/>
      <c r="R282" s="402"/>
      <c r="S282" s="402"/>
      <c r="T282" s="402"/>
      <c r="U282" s="402"/>
      <c r="V282" s="402"/>
      <c r="W282" s="402"/>
      <c r="X282" s="135"/>
      <c r="Y282" s="402"/>
      <c r="Z282" s="402"/>
      <c r="AA282" s="402"/>
      <c r="AB282" s="402"/>
      <c r="AC282" s="402"/>
      <c r="AD282" s="402"/>
      <c r="AE282" s="402"/>
      <c r="AF282" s="402"/>
      <c r="AG282" s="135"/>
      <c r="AH282" s="135"/>
      <c r="AI282" s="416"/>
      <c r="AJ282" s="416"/>
      <c r="AK282" s="416"/>
      <c r="AL282" s="416"/>
      <c r="AM282" s="416"/>
      <c r="AN282" s="416"/>
      <c r="AO282" s="416"/>
      <c r="AP282" s="416"/>
      <c r="AQ282" s="152"/>
      <c r="AR282" s="416"/>
      <c r="AS282" s="416"/>
      <c r="AT282" s="416"/>
      <c r="AU282" s="416"/>
      <c r="AV282" s="416"/>
      <c r="AW282" s="416"/>
      <c r="AX282" s="416"/>
      <c r="AY282" s="416"/>
      <c r="AZ282" s="116"/>
      <c r="BA282" s="416"/>
      <c r="BB282" s="416"/>
      <c r="BC282" s="416"/>
      <c r="BD282" s="416"/>
      <c r="BE282" s="416"/>
      <c r="BF282" s="416"/>
      <c r="BG282" s="416"/>
      <c r="BH282" s="416"/>
      <c r="BI282" s="152"/>
      <c r="BJ282" s="416"/>
      <c r="BK282" s="416"/>
      <c r="BL282" s="416"/>
      <c r="BM282" s="416"/>
      <c r="BN282" s="416"/>
      <c r="BO282" s="416"/>
      <c r="BP282" s="416"/>
      <c r="BQ282" s="416"/>
      <c r="BR282" s="116"/>
      <c r="BS282" s="416"/>
      <c r="BT282" s="416"/>
      <c r="BU282" s="416"/>
      <c r="BV282" s="416"/>
      <c r="BW282" s="416"/>
      <c r="BX282" s="416"/>
      <c r="BY282" s="416"/>
      <c r="BZ282" s="416"/>
      <c r="CA282" s="152"/>
      <c r="CB282" s="416"/>
      <c r="CC282" s="416"/>
      <c r="CD282" s="416"/>
      <c r="CE282" s="416"/>
      <c r="CF282" s="416"/>
      <c r="CG282" s="416"/>
      <c r="CH282" s="416"/>
      <c r="CI282" s="416"/>
      <c r="CJ282" s="152"/>
      <c r="CK282" s="152"/>
      <c r="CL282" s="152"/>
      <c r="CM282" s="152"/>
      <c r="CN282" s="152"/>
      <c r="CO282" s="152"/>
    </row>
    <row r="283" spans="1:93" s="62" customFormat="1" ht="12" customHeight="1" x14ac:dyDescent="0.25">
      <c r="A283" s="265"/>
      <c r="C283" s="402"/>
      <c r="D283" s="402"/>
      <c r="E283" s="402"/>
      <c r="F283" s="402"/>
      <c r="G283" s="402"/>
      <c r="H283" s="135"/>
      <c r="I283" s="402"/>
      <c r="J283" s="402"/>
      <c r="K283" s="402"/>
      <c r="L283" s="402"/>
      <c r="M283" s="402"/>
      <c r="N283" s="402"/>
      <c r="O283" s="135"/>
      <c r="P283" s="402"/>
      <c r="Q283" s="402"/>
      <c r="R283" s="402"/>
      <c r="S283" s="402"/>
      <c r="T283" s="402"/>
      <c r="U283" s="402"/>
      <c r="V283" s="402"/>
      <c r="W283" s="402"/>
      <c r="X283" s="135"/>
      <c r="Y283" s="402"/>
      <c r="Z283" s="402"/>
      <c r="AA283" s="402"/>
      <c r="AB283" s="402"/>
      <c r="AC283" s="402"/>
      <c r="AD283" s="402"/>
      <c r="AE283" s="402"/>
      <c r="AF283" s="402"/>
      <c r="AG283" s="135"/>
      <c r="AH283" s="135"/>
      <c r="AI283" s="416"/>
      <c r="AJ283" s="416"/>
      <c r="AK283" s="416"/>
      <c r="AL283" s="416"/>
      <c r="AM283" s="416"/>
      <c r="AN283" s="416"/>
      <c r="AO283" s="416"/>
      <c r="AP283" s="416"/>
      <c r="AQ283" s="152"/>
      <c r="AR283" s="416"/>
      <c r="AS283" s="416"/>
      <c r="AT283" s="416"/>
      <c r="AU283" s="416"/>
      <c r="AV283" s="416"/>
      <c r="AW283" s="416"/>
      <c r="AX283" s="416"/>
      <c r="AY283" s="416"/>
      <c r="AZ283" s="116"/>
      <c r="BA283" s="416"/>
      <c r="BB283" s="416"/>
      <c r="BC283" s="416"/>
      <c r="BD283" s="416"/>
      <c r="BE283" s="416"/>
      <c r="BF283" s="416"/>
      <c r="BG283" s="416"/>
      <c r="BH283" s="416"/>
      <c r="BI283" s="152"/>
      <c r="BJ283" s="416"/>
      <c r="BK283" s="416"/>
      <c r="BL283" s="416"/>
      <c r="BM283" s="416"/>
      <c r="BN283" s="416"/>
      <c r="BO283" s="416"/>
      <c r="BP283" s="416"/>
      <c r="BQ283" s="416"/>
      <c r="BR283" s="116"/>
      <c r="BS283" s="416"/>
      <c r="BT283" s="416"/>
      <c r="BU283" s="416"/>
      <c r="BV283" s="416"/>
      <c r="BW283" s="416"/>
      <c r="BX283" s="416"/>
      <c r="BY283" s="416"/>
      <c r="BZ283" s="416"/>
      <c r="CA283" s="152"/>
      <c r="CB283" s="416"/>
      <c r="CC283" s="416"/>
      <c r="CD283" s="416"/>
      <c r="CE283" s="416"/>
      <c r="CF283" s="416"/>
      <c r="CG283" s="416"/>
      <c r="CH283" s="416"/>
      <c r="CI283" s="416"/>
      <c r="CJ283" s="152"/>
      <c r="CK283" s="152"/>
      <c r="CL283" s="152"/>
      <c r="CM283" s="152"/>
      <c r="CN283" s="152"/>
      <c r="CO283" s="152"/>
    </row>
    <row r="284" spans="1:93" s="62" customFormat="1" ht="12" customHeight="1" x14ac:dyDescent="0.25">
      <c r="A284" s="265"/>
      <c r="C284" s="402"/>
      <c r="D284" s="402"/>
      <c r="E284" s="402"/>
      <c r="F284" s="402"/>
      <c r="G284" s="402"/>
      <c r="H284" s="135"/>
      <c r="I284" s="402"/>
      <c r="J284" s="402"/>
      <c r="K284" s="402"/>
      <c r="L284" s="402"/>
      <c r="M284" s="402"/>
      <c r="N284" s="402"/>
      <c r="O284" s="135"/>
      <c r="P284" s="402"/>
      <c r="Q284" s="402"/>
      <c r="R284" s="402"/>
      <c r="S284" s="402"/>
      <c r="T284" s="402"/>
      <c r="U284" s="402"/>
      <c r="V284" s="402"/>
      <c r="W284" s="402"/>
      <c r="X284" s="135"/>
      <c r="Y284" s="402"/>
      <c r="Z284" s="402"/>
      <c r="AA284" s="402"/>
      <c r="AB284" s="402"/>
      <c r="AC284" s="402"/>
      <c r="AD284" s="402"/>
      <c r="AE284" s="402"/>
      <c r="AF284" s="402"/>
      <c r="AG284" s="135"/>
      <c r="AH284" s="135"/>
      <c r="AI284" s="416"/>
      <c r="AJ284" s="416"/>
      <c r="AK284" s="416"/>
      <c r="AL284" s="416"/>
      <c r="AM284" s="416"/>
      <c r="AN284" s="416"/>
      <c r="AO284" s="416"/>
      <c r="AP284" s="416"/>
      <c r="AQ284" s="152"/>
      <c r="AR284" s="416"/>
      <c r="AS284" s="416"/>
      <c r="AT284" s="416"/>
      <c r="AU284" s="416"/>
      <c r="AV284" s="416"/>
      <c r="AW284" s="416"/>
      <c r="AX284" s="416"/>
      <c r="AY284" s="416"/>
      <c r="AZ284" s="116"/>
      <c r="BA284" s="416"/>
      <c r="BB284" s="416"/>
      <c r="BC284" s="416"/>
      <c r="BD284" s="416"/>
      <c r="BE284" s="416"/>
      <c r="BF284" s="416"/>
      <c r="BG284" s="416"/>
      <c r="BH284" s="416"/>
      <c r="BI284" s="152"/>
      <c r="BJ284" s="416"/>
      <c r="BK284" s="416"/>
      <c r="BL284" s="416"/>
      <c r="BM284" s="416"/>
      <c r="BN284" s="416"/>
      <c r="BO284" s="416"/>
      <c r="BP284" s="416"/>
      <c r="BQ284" s="416"/>
      <c r="BR284" s="116"/>
      <c r="BS284" s="416"/>
      <c r="BT284" s="416"/>
      <c r="BU284" s="416"/>
      <c r="BV284" s="416"/>
      <c r="BW284" s="416"/>
      <c r="BX284" s="416"/>
      <c r="BY284" s="416"/>
      <c r="BZ284" s="416"/>
      <c r="CA284" s="152"/>
      <c r="CB284" s="416"/>
      <c r="CC284" s="416"/>
      <c r="CD284" s="416"/>
      <c r="CE284" s="416"/>
      <c r="CF284" s="416"/>
      <c r="CG284" s="416"/>
      <c r="CH284" s="416"/>
      <c r="CI284" s="416"/>
      <c r="CJ284" s="152"/>
      <c r="CK284" s="152"/>
      <c r="CL284" s="152"/>
      <c r="CM284" s="152"/>
      <c r="CN284" s="152"/>
      <c r="CO284" s="152"/>
    </row>
    <row r="285" spans="1:93" s="62" customFormat="1" ht="12" customHeight="1" x14ac:dyDescent="0.25">
      <c r="A285" s="265"/>
      <c r="C285" s="402"/>
      <c r="D285" s="402"/>
      <c r="E285" s="402"/>
      <c r="F285" s="402"/>
      <c r="G285" s="402"/>
      <c r="H285" s="135"/>
      <c r="I285" s="402"/>
      <c r="J285" s="402"/>
      <c r="K285" s="402"/>
      <c r="L285" s="402"/>
      <c r="M285" s="402"/>
      <c r="N285" s="402"/>
      <c r="O285" s="135"/>
      <c r="P285" s="402"/>
      <c r="Q285" s="402"/>
      <c r="R285" s="402"/>
      <c r="S285" s="402"/>
      <c r="T285" s="402"/>
      <c r="U285" s="402"/>
      <c r="V285" s="402"/>
      <c r="W285" s="402"/>
      <c r="X285" s="135"/>
      <c r="Y285" s="402"/>
      <c r="Z285" s="402"/>
      <c r="AA285" s="402"/>
      <c r="AB285" s="402"/>
      <c r="AC285" s="402"/>
      <c r="AD285" s="402"/>
      <c r="AE285" s="402"/>
      <c r="AF285" s="402"/>
      <c r="AG285" s="135"/>
      <c r="AH285" s="135"/>
      <c r="AI285" s="416"/>
      <c r="AJ285" s="416"/>
      <c r="AK285" s="416"/>
      <c r="AL285" s="416"/>
      <c r="AM285" s="416"/>
      <c r="AN285" s="416"/>
      <c r="AO285" s="416"/>
      <c r="AP285" s="416"/>
      <c r="AQ285" s="152"/>
      <c r="AR285" s="416"/>
      <c r="AS285" s="416"/>
      <c r="AT285" s="416"/>
      <c r="AU285" s="416"/>
      <c r="AV285" s="416"/>
      <c r="AW285" s="416"/>
      <c r="AX285" s="416"/>
      <c r="AY285" s="416"/>
      <c r="AZ285" s="116"/>
      <c r="BA285" s="416"/>
      <c r="BB285" s="416"/>
      <c r="BC285" s="416"/>
      <c r="BD285" s="416"/>
      <c r="BE285" s="416"/>
      <c r="BF285" s="416"/>
      <c r="BG285" s="416"/>
      <c r="BH285" s="416"/>
      <c r="BI285" s="152"/>
      <c r="BJ285" s="416"/>
      <c r="BK285" s="416"/>
      <c r="BL285" s="416"/>
      <c r="BM285" s="416"/>
      <c r="BN285" s="416"/>
      <c r="BO285" s="416"/>
      <c r="BP285" s="416"/>
      <c r="BQ285" s="416"/>
      <c r="BR285" s="116"/>
      <c r="BS285" s="416"/>
      <c r="BT285" s="416"/>
      <c r="BU285" s="416"/>
      <c r="BV285" s="416"/>
      <c r="BW285" s="416"/>
      <c r="BX285" s="416"/>
      <c r="BY285" s="416"/>
      <c r="BZ285" s="416"/>
      <c r="CA285" s="152"/>
      <c r="CB285" s="416"/>
      <c r="CC285" s="416"/>
      <c r="CD285" s="416"/>
      <c r="CE285" s="416"/>
      <c r="CF285" s="416"/>
      <c r="CG285" s="416"/>
      <c r="CH285" s="416"/>
      <c r="CI285" s="416"/>
      <c r="CJ285" s="152"/>
      <c r="CK285" s="152"/>
      <c r="CL285" s="152"/>
      <c r="CM285" s="152"/>
      <c r="CN285" s="152"/>
      <c r="CO285" s="152"/>
    </row>
    <row r="286" spans="1:93" s="62" customFormat="1" ht="12" customHeight="1" x14ac:dyDescent="0.25">
      <c r="A286" s="265"/>
      <c r="C286" s="402"/>
      <c r="D286" s="402"/>
      <c r="E286" s="402"/>
      <c r="F286" s="402"/>
      <c r="G286" s="402"/>
      <c r="H286" s="135"/>
      <c r="I286" s="402"/>
      <c r="J286" s="402"/>
      <c r="K286" s="402"/>
      <c r="L286" s="402"/>
      <c r="M286" s="402"/>
      <c r="N286" s="402"/>
      <c r="O286" s="135"/>
      <c r="P286" s="402"/>
      <c r="Q286" s="402"/>
      <c r="R286" s="402"/>
      <c r="S286" s="402"/>
      <c r="T286" s="402"/>
      <c r="U286" s="402"/>
      <c r="V286" s="402"/>
      <c r="W286" s="402"/>
      <c r="X286" s="135"/>
      <c r="Y286" s="402"/>
      <c r="Z286" s="402"/>
      <c r="AA286" s="402"/>
      <c r="AB286" s="402"/>
      <c r="AC286" s="402"/>
      <c r="AD286" s="402"/>
      <c r="AE286" s="402"/>
      <c r="AF286" s="402"/>
      <c r="AG286" s="135"/>
      <c r="AH286" s="135"/>
      <c r="AI286" s="416"/>
      <c r="AJ286" s="416"/>
      <c r="AK286" s="416"/>
      <c r="AL286" s="416"/>
      <c r="AM286" s="416"/>
      <c r="AN286" s="416"/>
      <c r="AO286" s="416"/>
      <c r="AP286" s="416"/>
      <c r="AQ286" s="152"/>
      <c r="AR286" s="416"/>
      <c r="AS286" s="416"/>
      <c r="AT286" s="416"/>
      <c r="AU286" s="416"/>
      <c r="AV286" s="416"/>
      <c r="AW286" s="416"/>
      <c r="AX286" s="416"/>
      <c r="AY286" s="416"/>
      <c r="AZ286" s="116"/>
      <c r="BA286" s="416"/>
      <c r="BB286" s="416"/>
      <c r="BC286" s="416"/>
      <c r="BD286" s="416"/>
      <c r="BE286" s="416"/>
      <c r="BF286" s="416"/>
      <c r="BG286" s="416"/>
      <c r="BH286" s="416"/>
      <c r="BI286" s="152"/>
      <c r="BJ286" s="416"/>
      <c r="BK286" s="416"/>
      <c r="BL286" s="416"/>
      <c r="BM286" s="416"/>
      <c r="BN286" s="416"/>
      <c r="BO286" s="416"/>
      <c r="BP286" s="416"/>
      <c r="BQ286" s="416"/>
      <c r="BR286" s="116"/>
      <c r="BS286" s="416"/>
      <c r="BT286" s="416"/>
      <c r="BU286" s="416"/>
      <c r="BV286" s="416"/>
      <c r="BW286" s="416"/>
      <c r="BX286" s="416"/>
      <c r="BY286" s="416"/>
      <c r="BZ286" s="416"/>
      <c r="CA286" s="152"/>
      <c r="CB286" s="416"/>
      <c r="CC286" s="416"/>
      <c r="CD286" s="416"/>
      <c r="CE286" s="416"/>
      <c r="CF286" s="416"/>
      <c r="CG286" s="416"/>
      <c r="CH286" s="416"/>
      <c r="CI286" s="416"/>
      <c r="CJ286" s="152"/>
      <c r="CK286" s="152"/>
      <c r="CL286" s="152"/>
      <c r="CM286" s="152"/>
      <c r="CN286" s="152"/>
      <c r="CO286" s="152"/>
    </row>
    <row r="287" spans="1:93" s="62" customFormat="1" ht="12" customHeight="1" x14ac:dyDescent="0.25">
      <c r="A287" s="265"/>
      <c r="C287" s="402"/>
      <c r="D287" s="402"/>
      <c r="E287" s="402"/>
      <c r="F287" s="402"/>
      <c r="G287" s="402"/>
      <c r="H287" s="135"/>
      <c r="I287" s="402"/>
      <c r="J287" s="402"/>
      <c r="K287" s="402"/>
      <c r="L287" s="402"/>
      <c r="M287" s="402"/>
      <c r="N287" s="402"/>
      <c r="O287" s="135"/>
      <c r="P287" s="402"/>
      <c r="Q287" s="402"/>
      <c r="R287" s="402"/>
      <c r="S287" s="402"/>
      <c r="T287" s="402"/>
      <c r="U287" s="402"/>
      <c r="V287" s="402"/>
      <c r="W287" s="402"/>
      <c r="X287" s="135"/>
      <c r="Y287" s="402"/>
      <c r="Z287" s="402"/>
      <c r="AA287" s="402"/>
      <c r="AB287" s="402"/>
      <c r="AC287" s="402"/>
      <c r="AD287" s="402"/>
      <c r="AE287" s="402"/>
      <c r="AF287" s="402"/>
      <c r="AG287" s="135"/>
      <c r="AH287" s="135"/>
      <c r="AI287" s="416"/>
      <c r="AJ287" s="416"/>
      <c r="AK287" s="416"/>
      <c r="AL287" s="416"/>
      <c r="AM287" s="416"/>
      <c r="AN287" s="416"/>
      <c r="AO287" s="416"/>
      <c r="AP287" s="416"/>
      <c r="AQ287" s="152"/>
      <c r="AR287" s="416"/>
      <c r="AS287" s="416"/>
      <c r="AT287" s="416"/>
      <c r="AU287" s="416"/>
      <c r="AV287" s="416"/>
      <c r="AW287" s="416"/>
      <c r="AX287" s="416"/>
      <c r="AY287" s="416"/>
      <c r="AZ287" s="116"/>
      <c r="BA287" s="416"/>
      <c r="BB287" s="416"/>
      <c r="BC287" s="416"/>
      <c r="BD287" s="416"/>
      <c r="BE287" s="416"/>
      <c r="BF287" s="416"/>
      <c r="BG287" s="416"/>
      <c r="BH287" s="416"/>
      <c r="BI287" s="152"/>
      <c r="BJ287" s="416"/>
      <c r="BK287" s="416"/>
      <c r="BL287" s="416"/>
      <c r="BM287" s="416"/>
      <c r="BN287" s="416"/>
      <c r="BO287" s="416"/>
      <c r="BP287" s="416"/>
      <c r="BQ287" s="416"/>
      <c r="BR287" s="116"/>
      <c r="BS287" s="416"/>
      <c r="BT287" s="416"/>
      <c r="BU287" s="416"/>
      <c r="BV287" s="416"/>
      <c r="BW287" s="416"/>
      <c r="BX287" s="416"/>
      <c r="BY287" s="416"/>
      <c r="BZ287" s="416"/>
      <c r="CA287" s="152"/>
      <c r="CB287" s="416"/>
      <c r="CC287" s="416"/>
      <c r="CD287" s="416"/>
      <c r="CE287" s="416"/>
      <c r="CF287" s="416"/>
      <c r="CG287" s="416"/>
      <c r="CH287" s="416"/>
      <c r="CI287" s="416"/>
      <c r="CJ287" s="152"/>
      <c r="CK287" s="152"/>
      <c r="CL287" s="152"/>
      <c r="CM287" s="152"/>
      <c r="CN287" s="152"/>
      <c r="CO287" s="152"/>
    </row>
    <row r="288" spans="1:93" s="62" customFormat="1" ht="12" customHeight="1" x14ac:dyDescent="0.25">
      <c r="A288" s="265"/>
      <c r="C288" s="402"/>
      <c r="D288" s="402"/>
      <c r="E288" s="402"/>
      <c r="F288" s="402"/>
      <c r="G288" s="402"/>
      <c r="H288" s="135"/>
      <c r="I288" s="402"/>
      <c r="J288" s="402"/>
      <c r="K288" s="402"/>
      <c r="L288" s="402"/>
      <c r="M288" s="402"/>
      <c r="N288" s="402"/>
      <c r="O288" s="135"/>
      <c r="P288" s="402"/>
      <c r="Q288" s="402"/>
      <c r="R288" s="402"/>
      <c r="S288" s="402"/>
      <c r="T288" s="402"/>
      <c r="U288" s="402"/>
      <c r="V288" s="402"/>
      <c r="W288" s="402"/>
      <c r="X288" s="135"/>
      <c r="Y288" s="402"/>
      <c r="Z288" s="402"/>
      <c r="AA288" s="402"/>
      <c r="AB288" s="402"/>
      <c r="AC288" s="402"/>
      <c r="AD288" s="402"/>
      <c r="AE288" s="402"/>
      <c r="AF288" s="402"/>
      <c r="AG288" s="135"/>
      <c r="AH288" s="135"/>
      <c r="AI288" s="416"/>
      <c r="AJ288" s="416"/>
      <c r="AK288" s="416"/>
      <c r="AL288" s="416"/>
      <c r="AM288" s="416"/>
      <c r="AN288" s="416"/>
      <c r="AO288" s="416"/>
      <c r="AP288" s="416"/>
      <c r="AQ288" s="152"/>
      <c r="AR288" s="416"/>
      <c r="AS288" s="416"/>
      <c r="AT288" s="416"/>
      <c r="AU288" s="416"/>
      <c r="AV288" s="416"/>
      <c r="AW288" s="416"/>
      <c r="AX288" s="416"/>
      <c r="AY288" s="416"/>
      <c r="AZ288" s="116"/>
      <c r="BA288" s="416"/>
      <c r="BB288" s="416"/>
      <c r="BC288" s="416"/>
      <c r="BD288" s="416"/>
      <c r="BE288" s="416"/>
      <c r="BF288" s="416"/>
      <c r="BG288" s="416"/>
      <c r="BH288" s="416"/>
      <c r="BI288" s="152"/>
      <c r="BJ288" s="416"/>
      <c r="BK288" s="416"/>
      <c r="BL288" s="416"/>
      <c r="BM288" s="416"/>
      <c r="BN288" s="416"/>
      <c r="BO288" s="416"/>
      <c r="BP288" s="416"/>
      <c r="BQ288" s="416"/>
      <c r="BR288" s="116"/>
      <c r="BS288" s="416"/>
      <c r="BT288" s="416"/>
      <c r="BU288" s="416"/>
      <c r="BV288" s="416"/>
      <c r="BW288" s="416"/>
      <c r="BX288" s="416"/>
      <c r="BY288" s="416"/>
      <c r="BZ288" s="416"/>
      <c r="CA288" s="152"/>
      <c r="CB288" s="416"/>
      <c r="CC288" s="416"/>
      <c r="CD288" s="416"/>
      <c r="CE288" s="416"/>
      <c r="CF288" s="416"/>
      <c r="CG288" s="416"/>
      <c r="CH288" s="416"/>
      <c r="CI288" s="416"/>
      <c r="CJ288" s="152"/>
      <c r="CK288" s="152"/>
      <c r="CL288" s="152"/>
      <c r="CM288" s="152"/>
      <c r="CN288" s="152"/>
      <c r="CO288" s="152"/>
    </row>
    <row r="289" spans="1:93" s="62" customFormat="1" ht="12" customHeight="1" x14ac:dyDescent="0.25">
      <c r="A289" s="265"/>
      <c r="C289" s="402"/>
      <c r="D289" s="402"/>
      <c r="E289" s="402"/>
      <c r="F289" s="402"/>
      <c r="G289" s="402"/>
      <c r="H289" s="135"/>
      <c r="I289" s="402"/>
      <c r="J289" s="402"/>
      <c r="K289" s="402"/>
      <c r="L289" s="402"/>
      <c r="M289" s="402"/>
      <c r="N289" s="402"/>
      <c r="O289" s="135"/>
      <c r="P289" s="402"/>
      <c r="Q289" s="402"/>
      <c r="R289" s="402"/>
      <c r="S289" s="402"/>
      <c r="T289" s="402"/>
      <c r="U289" s="402"/>
      <c r="V289" s="402"/>
      <c r="W289" s="402"/>
      <c r="X289" s="135"/>
      <c r="Y289" s="402"/>
      <c r="Z289" s="402"/>
      <c r="AA289" s="402"/>
      <c r="AB289" s="402"/>
      <c r="AC289" s="402"/>
      <c r="AD289" s="402"/>
      <c r="AE289" s="402"/>
      <c r="AF289" s="402"/>
      <c r="AG289" s="135"/>
      <c r="AH289" s="135"/>
      <c r="AI289" s="416"/>
      <c r="AJ289" s="416"/>
      <c r="AK289" s="416"/>
      <c r="AL289" s="416"/>
      <c r="AM289" s="416"/>
      <c r="AN289" s="416"/>
      <c r="AO289" s="416"/>
      <c r="AP289" s="416"/>
      <c r="AQ289" s="152"/>
      <c r="AR289" s="416"/>
      <c r="AS289" s="416"/>
      <c r="AT289" s="416"/>
      <c r="AU289" s="416"/>
      <c r="AV289" s="416"/>
      <c r="AW289" s="416"/>
      <c r="AX289" s="416"/>
      <c r="AY289" s="416"/>
      <c r="AZ289" s="116"/>
      <c r="BA289" s="416"/>
      <c r="BB289" s="416"/>
      <c r="BC289" s="416"/>
      <c r="BD289" s="416"/>
      <c r="BE289" s="416"/>
      <c r="BF289" s="416"/>
      <c r="BG289" s="416"/>
      <c r="BH289" s="416"/>
      <c r="BI289" s="152"/>
      <c r="BJ289" s="416"/>
      <c r="BK289" s="416"/>
      <c r="BL289" s="416"/>
      <c r="BM289" s="416"/>
      <c r="BN289" s="416"/>
      <c r="BO289" s="416"/>
      <c r="BP289" s="416"/>
      <c r="BQ289" s="416"/>
      <c r="BR289" s="116"/>
      <c r="BS289" s="416"/>
      <c r="BT289" s="416"/>
      <c r="BU289" s="416"/>
      <c r="BV289" s="416"/>
      <c r="BW289" s="416"/>
      <c r="BX289" s="416"/>
      <c r="BY289" s="416"/>
      <c r="BZ289" s="416"/>
      <c r="CA289" s="152"/>
      <c r="CB289" s="416"/>
      <c r="CC289" s="416"/>
      <c r="CD289" s="416"/>
      <c r="CE289" s="416"/>
      <c r="CF289" s="416"/>
      <c r="CG289" s="416"/>
      <c r="CH289" s="416"/>
      <c r="CI289" s="416"/>
      <c r="CJ289" s="152"/>
      <c r="CK289" s="152"/>
      <c r="CL289" s="152"/>
      <c r="CM289" s="152"/>
      <c r="CN289" s="152"/>
      <c r="CO289" s="152"/>
    </row>
    <row r="290" spans="1:93" s="62" customFormat="1" ht="12" customHeight="1" x14ac:dyDescent="0.25">
      <c r="A290" s="265"/>
      <c r="C290" s="402"/>
      <c r="D290" s="402"/>
      <c r="E290" s="402"/>
      <c r="F290" s="402"/>
      <c r="G290" s="402"/>
      <c r="I290" s="402"/>
      <c r="J290" s="402"/>
      <c r="K290" s="402"/>
      <c r="L290" s="402"/>
      <c r="M290" s="402"/>
      <c r="N290" s="402"/>
      <c r="P290" s="402"/>
      <c r="Q290" s="402"/>
      <c r="R290" s="402"/>
      <c r="S290" s="402"/>
      <c r="T290" s="402"/>
      <c r="U290" s="402"/>
      <c r="V290" s="402"/>
      <c r="W290" s="402"/>
      <c r="Y290" s="402"/>
      <c r="Z290" s="402"/>
      <c r="AA290" s="402"/>
      <c r="AB290" s="402"/>
      <c r="AC290" s="402"/>
      <c r="AD290" s="402"/>
      <c r="AE290" s="402"/>
      <c r="AF290" s="402"/>
      <c r="AI290" s="416"/>
      <c r="AJ290" s="416"/>
      <c r="AK290" s="416"/>
      <c r="AL290" s="416"/>
      <c r="AM290" s="416"/>
      <c r="AN290" s="416"/>
      <c r="AO290" s="416"/>
      <c r="AP290" s="416"/>
      <c r="AR290" s="416"/>
      <c r="AS290" s="416"/>
      <c r="AT290" s="416"/>
      <c r="AU290" s="416"/>
      <c r="AV290" s="416"/>
      <c r="AW290" s="416"/>
      <c r="AX290" s="416"/>
      <c r="AY290" s="416"/>
      <c r="BA290" s="416"/>
      <c r="BB290" s="416"/>
      <c r="BC290" s="416"/>
      <c r="BD290" s="416"/>
      <c r="BE290" s="416"/>
      <c r="BF290" s="416"/>
      <c r="BG290" s="416"/>
      <c r="BH290" s="416"/>
      <c r="BJ290" s="416"/>
      <c r="BK290" s="416"/>
      <c r="BL290" s="416"/>
      <c r="BM290" s="416"/>
      <c r="BN290" s="416"/>
      <c r="BO290" s="416"/>
      <c r="BP290" s="416"/>
      <c r="BQ290" s="416"/>
      <c r="BS290" s="416"/>
      <c r="BT290" s="416"/>
      <c r="BU290" s="416"/>
      <c r="BV290" s="416"/>
      <c r="BW290" s="416"/>
      <c r="BX290" s="416"/>
      <c r="BY290" s="416"/>
      <c r="BZ290" s="416"/>
      <c r="CB290" s="416"/>
      <c r="CC290" s="416"/>
      <c r="CD290" s="416"/>
      <c r="CE290" s="416"/>
      <c r="CF290" s="416"/>
      <c r="CG290" s="416"/>
      <c r="CH290" s="416"/>
      <c r="CI290" s="416"/>
    </row>
    <row r="291" spans="1:93" s="62" customFormat="1" ht="12" customHeight="1" x14ac:dyDescent="0.25">
      <c r="A291" s="265"/>
      <c r="C291" s="402"/>
      <c r="D291" s="402"/>
      <c r="E291" s="402"/>
      <c r="F291" s="402"/>
      <c r="G291" s="402"/>
      <c r="I291" s="402"/>
      <c r="J291" s="402"/>
      <c r="K291" s="402"/>
      <c r="L291" s="402"/>
      <c r="M291" s="402"/>
      <c r="N291" s="402"/>
      <c r="P291" s="402"/>
      <c r="Q291" s="402"/>
      <c r="R291" s="402"/>
      <c r="S291" s="402"/>
      <c r="T291" s="402"/>
      <c r="U291" s="402"/>
      <c r="V291" s="402"/>
      <c r="W291" s="402"/>
      <c r="Y291" s="402"/>
      <c r="Z291" s="402"/>
      <c r="AA291" s="402"/>
      <c r="AB291" s="402"/>
      <c r="AC291" s="402"/>
      <c r="AD291" s="402"/>
      <c r="AE291" s="402"/>
      <c r="AF291" s="402"/>
      <c r="AI291" s="416"/>
      <c r="AJ291" s="416"/>
      <c r="AK291" s="416"/>
      <c r="AL291" s="416"/>
      <c r="AM291" s="416"/>
      <c r="AN291" s="416"/>
      <c r="AO291" s="416"/>
      <c r="AP291" s="416"/>
      <c r="AR291" s="416"/>
      <c r="AS291" s="416"/>
      <c r="AT291" s="416"/>
      <c r="AU291" s="416"/>
      <c r="AV291" s="416"/>
      <c r="AW291" s="416"/>
      <c r="AX291" s="416"/>
      <c r="AY291" s="416"/>
      <c r="BA291" s="416"/>
      <c r="BB291" s="416"/>
      <c r="BC291" s="416"/>
      <c r="BD291" s="416"/>
      <c r="BE291" s="416"/>
      <c r="BF291" s="416"/>
      <c r="BG291" s="416"/>
      <c r="BH291" s="416"/>
      <c r="BJ291" s="416"/>
      <c r="BK291" s="416"/>
      <c r="BL291" s="416"/>
      <c r="BM291" s="416"/>
      <c r="BN291" s="416"/>
      <c r="BO291" s="416"/>
      <c r="BP291" s="416"/>
      <c r="BQ291" s="416"/>
      <c r="BS291" s="416"/>
      <c r="BT291" s="416"/>
      <c r="BU291" s="416"/>
      <c r="BV291" s="416"/>
      <c r="BW291" s="416"/>
      <c r="BX291" s="416"/>
      <c r="BY291" s="416"/>
      <c r="BZ291" s="416"/>
      <c r="CB291" s="416"/>
      <c r="CC291" s="416"/>
      <c r="CD291" s="416"/>
      <c r="CE291" s="416"/>
      <c r="CF291" s="416"/>
      <c r="CG291" s="416"/>
      <c r="CH291" s="416"/>
      <c r="CI291" s="416"/>
    </row>
    <row r="292" spans="1:93" s="62" customFormat="1" x14ac:dyDescent="0.25">
      <c r="A292" s="265"/>
      <c r="C292" s="135"/>
      <c r="D292" s="135"/>
      <c r="E292" s="135"/>
      <c r="F292" s="135"/>
      <c r="G292" s="135"/>
      <c r="P292" s="260"/>
    </row>
    <row r="293" spans="1:93" s="57" customFormat="1" x14ac:dyDescent="0.25">
      <c r="A293" s="265"/>
      <c r="P293" s="260"/>
    </row>
    <row r="294" spans="1:93" s="57" customFormat="1" x14ac:dyDescent="0.25">
      <c r="A294" s="265"/>
      <c r="P294" s="260"/>
    </row>
    <row r="295" spans="1:93" s="21" customFormat="1" hidden="1" x14ac:dyDescent="0.25">
      <c r="A295" s="265"/>
      <c r="B295" s="24"/>
      <c r="C295" s="25">
        <f>$D$14</f>
        <v>600045</v>
      </c>
      <c r="D295" s="408" t="str">
        <f>$D$16</f>
        <v>Youngstown State University</v>
      </c>
      <c r="E295" s="408"/>
      <c r="F295" s="408"/>
      <c r="G295" s="408"/>
      <c r="H295" s="408"/>
      <c r="I295" s="408"/>
      <c r="J295" s="408"/>
      <c r="K295" s="408"/>
      <c r="P295" s="260"/>
      <c r="Q295"/>
      <c r="R295"/>
      <c r="S295"/>
      <c r="T295"/>
      <c r="U295"/>
      <c r="V295"/>
      <c r="W295"/>
      <c r="X295"/>
      <c r="Y295"/>
      <c r="Z295"/>
    </row>
    <row r="296" spans="1:93" s="21" customFormat="1" hidden="1" x14ac:dyDescent="0.25">
      <c r="A296" s="265"/>
      <c r="P296" s="260"/>
      <c r="Q296"/>
      <c r="R296"/>
      <c r="S296"/>
      <c r="T296"/>
      <c r="U296"/>
      <c r="V296"/>
      <c r="W296"/>
      <c r="X296"/>
      <c r="Y296"/>
      <c r="Z296"/>
    </row>
    <row r="297" spans="1:93" s="21" customFormat="1" ht="18" hidden="1" x14ac:dyDescent="0.25">
      <c r="A297" s="265"/>
      <c r="B297" s="209" t="s">
        <v>2</v>
      </c>
      <c r="C297" s="210"/>
      <c r="D297" s="210"/>
      <c r="E297" s="210"/>
      <c r="F297" s="211"/>
      <c r="G297" s="210"/>
      <c r="H297" s="210"/>
      <c r="I297" s="210"/>
      <c r="J297" s="210"/>
      <c r="K297" s="210"/>
      <c r="L297" s="210"/>
      <c r="M297" s="210"/>
      <c r="N297" s="210"/>
      <c r="P297" s="260"/>
      <c r="Q297" s="19"/>
      <c r="R297" s="19"/>
      <c r="S297" s="19"/>
      <c r="T297" s="19"/>
      <c r="U297" s="19"/>
      <c r="V297" s="19"/>
      <c r="W297" s="19"/>
      <c r="X297" s="19"/>
      <c r="Y297" s="19"/>
      <c r="Z297" s="19"/>
    </row>
    <row r="298" spans="1:93" s="21" customFormat="1" ht="119.25" hidden="1" customHeight="1" x14ac:dyDescent="0.25">
      <c r="A298" s="265"/>
      <c r="B298" s="417" t="s">
        <v>66</v>
      </c>
      <c r="C298" s="417"/>
      <c r="D298" s="417"/>
      <c r="E298" s="417"/>
      <c r="F298" s="417"/>
      <c r="G298" s="417"/>
      <c r="H298" s="417"/>
      <c r="I298" s="417"/>
      <c r="J298" s="417"/>
      <c r="K298" s="417"/>
      <c r="L298" s="417"/>
      <c r="M298" s="417"/>
      <c r="N298" s="417"/>
      <c r="O298" s="6"/>
      <c r="P298" s="260"/>
      <c r="Q298"/>
      <c r="R298"/>
      <c r="S298"/>
      <c r="T298"/>
      <c r="U298"/>
      <c r="V298"/>
      <c r="W298"/>
      <c r="X298"/>
      <c r="Y298"/>
      <c r="Z298"/>
    </row>
    <row r="299" spans="1:93" s="21" customFormat="1" ht="23.25" hidden="1" customHeight="1" x14ac:dyDescent="0.25">
      <c r="A299" s="265"/>
      <c r="B299" s="409" t="s">
        <v>12</v>
      </c>
      <c r="C299" s="409"/>
      <c r="D299" s="409"/>
      <c r="E299" s="409"/>
      <c r="F299" s="409"/>
      <c r="G299" s="409"/>
      <c r="H299" s="409"/>
      <c r="I299" s="409"/>
      <c r="J299" s="409"/>
      <c r="K299" s="409"/>
      <c r="L299" s="409"/>
      <c r="M299" s="409"/>
      <c r="N299" s="409"/>
      <c r="P299" s="260"/>
    </row>
    <row r="300" spans="1:93" s="21" customFormat="1" hidden="1" x14ac:dyDescent="0.25">
      <c r="A300" s="265"/>
      <c r="P300" s="260"/>
    </row>
    <row r="301" spans="1:93" s="21" customFormat="1" ht="30.75" hidden="1" customHeight="1" x14ac:dyDescent="0.25">
      <c r="A301" s="265"/>
      <c r="B301" s="13"/>
      <c r="C301" s="404" t="s">
        <v>11</v>
      </c>
      <c r="D301" s="404"/>
      <c r="E301" s="404"/>
      <c r="F301" s="405"/>
      <c r="G301" s="153"/>
      <c r="H301" s="145" t="str">
        <f>IF($G$301="", " &lt;=== Select from drop down list","")</f>
        <v xml:space="preserve"> &lt;=== Select from drop down list</v>
      </c>
      <c r="J301" s="258"/>
      <c r="P301" s="260"/>
    </row>
    <row r="302" spans="1:93" s="21" customFormat="1" hidden="1" x14ac:dyDescent="0.25">
      <c r="A302" s="265"/>
      <c r="P302" s="260"/>
    </row>
    <row r="303" spans="1:93" s="124" customFormat="1" ht="26.25" hidden="1" customHeight="1" x14ac:dyDescent="0.25">
      <c r="A303" s="17"/>
      <c r="B303" s="13"/>
      <c r="C303" s="404" t="str">
        <f>IF(G301="Yes", "Is the program exclusively distance ed (i.e., no campus)?","")</f>
        <v/>
      </c>
      <c r="D303" s="404"/>
      <c r="E303" s="404"/>
      <c r="F303" s="410"/>
      <c r="G303" s="146"/>
      <c r="H303" s="144" t="str">
        <f>IF(AND($G$301="Yes",G303=""), " &lt;=== Select from drop down list","")</f>
        <v/>
      </c>
      <c r="P303" s="260"/>
    </row>
    <row r="304" spans="1:93" s="124" customFormat="1" hidden="1" x14ac:dyDescent="0.25">
      <c r="A304" s="17"/>
      <c r="P304" s="260"/>
    </row>
    <row r="305" spans="1:22" s="134" customFormat="1" ht="26.25" hidden="1" customHeight="1" x14ac:dyDescent="0.25">
      <c r="A305" s="17"/>
      <c r="B305" s="13"/>
      <c r="C305" s="404" t="str">
        <f>IF(G301="Yes", "Are there DE students out-of-state?","")</f>
        <v/>
      </c>
      <c r="D305" s="404"/>
      <c r="E305" s="404"/>
      <c r="F305" s="410"/>
      <c r="G305" s="146"/>
      <c r="H305" s="144" t="str">
        <f>IF(AND($G$301="Yes",G305=""), " &lt;=== Select from drop down list","")</f>
        <v/>
      </c>
      <c r="P305" s="260"/>
    </row>
    <row r="306" spans="1:22" s="21" customFormat="1" hidden="1" x14ac:dyDescent="0.25">
      <c r="A306" s="17"/>
      <c r="P306" s="260"/>
    </row>
    <row r="307" spans="1:22" s="124" customFormat="1" ht="26.25" hidden="1" customHeight="1" x14ac:dyDescent="0.25">
      <c r="A307" s="17"/>
      <c r="B307" s="13"/>
      <c r="C307" s="404" t="str">
        <f>IF(G301="Yes", "Percentage (approximate) of the program delivered by distance:","")</f>
        <v/>
      </c>
      <c r="D307" s="404"/>
      <c r="E307" s="404"/>
      <c r="F307" s="410"/>
      <c r="G307" s="147"/>
      <c r="H307" s="145" t="str">
        <f>IF(AND($G$301="Yes",G307=""), " &lt;=== Select from drop down list","")</f>
        <v/>
      </c>
      <c r="P307" s="260"/>
    </row>
    <row r="308" spans="1:22" s="21" customFormat="1" hidden="1" x14ac:dyDescent="0.25">
      <c r="A308" s="17"/>
      <c r="P308" s="260"/>
    </row>
    <row r="309" spans="1:22" s="124" customFormat="1" ht="26.25" hidden="1" customHeight="1" x14ac:dyDescent="0.25">
      <c r="A309" s="17"/>
      <c r="B309" s="13"/>
      <c r="C309" s="410" t="str">
        <f>IF(G301="Yes", "List of courses that are totally web based (i.e., no face-to-face instruction)","")</f>
        <v/>
      </c>
      <c r="D309" s="410"/>
      <c r="E309" s="410"/>
      <c r="F309" s="410"/>
      <c r="G309" s="410"/>
      <c r="H309" s="410"/>
      <c r="I309" s="410"/>
      <c r="P309" s="260"/>
    </row>
    <row r="310" spans="1:22" s="131" customFormat="1" ht="6.75" hidden="1" customHeight="1" x14ac:dyDescent="0.25">
      <c r="A310" s="17"/>
      <c r="P310" s="260"/>
    </row>
    <row r="311" spans="1:22" s="124" customFormat="1" hidden="1" x14ac:dyDescent="0.25">
      <c r="A311" s="17"/>
      <c r="C311" s="148" t="str">
        <f>IF(G301="Yes","Course Number","")</f>
        <v/>
      </c>
      <c r="D311" s="403" t="str">
        <f>IF(G301="Yes","Course Title","")</f>
        <v/>
      </c>
      <c r="E311" s="403"/>
      <c r="F311" s="403"/>
      <c r="G311" s="148" t="str">
        <f>IF(G301="Yes","# of credits","")</f>
        <v/>
      </c>
      <c r="H311" s="148" t="str">
        <f>IF(G301="Yes","# lecture hours","")</f>
        <v/>
      </c>
      <c r="I311" s="148" t="str">
        <f>IF(G301="Yes","Core Course?","")</f>
        <v/>
      </c>
      <c r="P311" s="260"/>
    </row>
    <row r="312" spans="1:22" s="124" customFormat="1" hidden="1" x14ac:dyDescent="0.25">
      <c r="A312" s="17"/>
      <c r="C312" s="151"/>
      <c r="D312" s="401"/>
      <c r="E312" s="401"/>
      <c r="F312" s="401"/>
      <c r="G312" s="150"/>
      <c r="H312" s="149"/>
      <c r="I312" s="146"/>
      <c r="P312" s="260"/>
    </row>
    <row r="313" spans="1:22" s="124" customFormat="1" hidden="1" x14ac:dyDescent="0.25">
      <c r="A313" s="17"/>
      <c r="C313" s="151"/>
      <c r="D313" s="401"/>
      <c r="E313" s="401"/>
      <c r="F313" s="401"/>
      <c r="G313" s="150"/>
      <c r="H313" s="149"/>
      <c r="I313" s="146"/>
      <c r="P313" s="260"/>
    </row>
    <row r="314" spans="1:22" s="124" customFormat="1" hidden="1" x14ac:dyDescent="0.25">
      <c r="A314" s="17"/>
      <c r="C314" s="151"/>
      <c r="D314" s="401"/>
      <c r="E314" s="401"/>
      <c r="F314" s="401"/>
      <c r="G314" s="150"/>
      <c r="H314" s="149"/>
      <c r="I314" s="146"/>
      <c r="P314" s="260"/>
    </row>
    <row r="315" spans="1:22" s="124" customFormat="1" hidden="1" x14ac:dyDescent="0.25">
      <c r="A315" s="17"/>
      <c r="C315" s="151"/>
      <c r="D315" s="401"/>
      <c r="E315" s="401"/>
      <c r="F315" s="401"/>
      <c r="G315" s="150"/>
      <c r="H315" s="149"/>
      <c r="I315" s="146"/>
      <c r="P315" s="260"/>
    </row>
    <row r="316" spans="1:22" s="21" customFormat="1" hidden="1" x14ac:dyDescent="0.25">
      <c r="A316" s="17"/>
      <c r="C316" s="151"/>
      <c r="D316" s="401"/>
      <c r="E316" s="401"/>
      <c r="F316" s="401"/>
      <c r="G316" s="150"/>
      <c r="H316" s="149"/>
      <c r="I316" s="146"/>
      <c r="P316" s="260"/>
    </row>
    <row r="317" spans="1:22" hidden="1" x14ac:dyDescent="0.25">
      <c r="C317" s="151"/>
      <c r="D317" s="401"/>
      <c r="E317" s="401"/>
      <c r="F317" s="401"/>
      <c r="G317" s="150"/>
      <c r="H317" s="149"/>
      <c r="I317" s="146"/>
      <c r="M317" s="21"/>
      <c r="N317" s="21"/>
      <c r="O317" s="21"/>
      <c r="Q317" s="21"/>
      <c r="R317" s="21"/>
      <c r="S317" s="21"/>
      <c r="T317" s="21"/>
      <c r="U317" s="21"/>
      <c r="V317" s="21"/>
    </row>
    <row r="318" spans="1:22" hidden="1" x14ac:dyDescent="0.25">
      <c r="C318" s="151"/>
      <c r="D318" s="401"/>
      <c r="E318" s="401"/>
      <c r="F318" s="401"/>
      <c r="G318" s="150"/>
      <c r="H318" s="149"/>
      <c r="I318" s="146"/>
      <c r="M318" s="21"/>
      <c r="N318" s="21"/>
      <c r="O318" s="21"/>
      <c r="Q318" s="21"/>
      <c r="R318" s="21"/>
      <c r="S318" s="21"/>
      <c r="T318" s="21"/>
      <c r="U318" s="21"/>
      <c r="V318" s="21"/>
    </row>
    <row r="319" spans="1:22" hidden="1" x14ac:dyDescent="0.25">
      <c r="C319" s="151"/>
      <c r="D319" s="401"/>
      <c r="E319" s="401"/>
      <c r="F319" s="401"/>
      <c r="G319" s="150"/>
      <c r="H319" s="149"/>
      <c r="I319" s="146"/>
      <c r="M319" s="21"/>
      <c r="N319" s="21"/>
      <c r="O319" s="21"/>
      <c r="Q319" s="21"/>
      <c r="R319" s="21"/>
      <c r="S319" s="21"/>
      <c r="T319" s="21"/>
      <c r="U319" s="21"/>
      <c r="V319" s="21"/>
    </row>
    <row r="320" spans="1:22" hidden="1" x14ac:dyDescent="0.25">
      <c r="C320" s="151"/>
      <c r="D320" s="401"/>
      <c r="E320" s="401"/>
      <c r="F320" s="401"/>
      <c r="G320" s="150"/>
      <c r="H320" s="149"/>
      <c r="I320" s="146"/>
      <c r="M320" s="21"/>
      <c r="N320" s="21"/>
      <c r="O320" s="21"/>
      <c r="Q320" s="21"/>
      <c r="R320" s="21"/>
      <c r="S320" s="21"/>
      <c r="T320" s="21"/>
      <c r="U320" s="21"/>
      <c r="V320" s="21"/>
    </row>
    <row r="321" spans="1:26" hidden="1" x14ac:dyDescent="0.25">
      <c r="C321" s="151"/>
      <c r="D321" s="401"/>
      <c r="E321" s="401"/>
      <c r="F321" s="401"/>
      <c r="G321" s="150"/>
      <c r="H321" s="149"/>
      <c r="I321" s="146"/>
    </row>
    <row r="322" spans="1:26" s="134" customFormat="1" hidden="1" x14ac:dyDescent="0.25">
      <c r="A322" s="17"/>
      <c r="C322" s="151"/>
      <c r="D322" s="401"/>
      <c r="E322" s="401"/>
      <c r="F322" s="401"/>
      <c r="G322" s="150"/>
      <c r="H322" s="149"/>
      <c r="I322" s="146"/>
      <c r="P322" s="260"/>
    </row>
    <row r="323" spans="1:26" s="28" customFormat="1" hidden="1" x14ac:dyDescent="0.25">
      <c r="A323" s="17"/>
      <c r="B323" s="24"/>
      <c r="C323" s="151"/>
      <c r="D323" s="401"/>
      <c r="E323" s="401"/>
      <c r="F323" s="401"/>
      <c r="G323" s="150"/>
      <c r="H323" s="149"/>
      <c r="I323" s="146"/>
      <c r="M323"/>
      <c r="N323"/>
      <c r="O323"/>
      <c r="P323" s="260"/>
      <c r="Q323"/>
      <c r="R323"/>
      <c r="S323"/>
      <c r="T323"/>
      <c r="U323"/>
      <c r="V323"/>
    </row>
    <row r="324" spans="1:26" s="28" customFormat="1" hidden="1" x14ac:dyDescent="0.25">
      <c r="A324" s="17"/>
      <c r="B324" s="27"/>
      <c r="C324" s="151"/>
      <c r="D324" s="401"/>
      <c r="E324" s="401"/>
      <c r="F324" s="401"/>
      <c r="G324" s="150"/>
      <c r="H324" s="149"/>
      <c r="I324" s="146"/>
      <c r="M324"/>
      <c r="N324"/>
      <c r="O324"/>
      <c r="P324" s="260"/>
      <c r="Q324"/>
      <c r="R324"/>
      <c r="S324"/>
      <c r="T324"/>
      <c r="U324"/>
      <c r="V324"/>
    </row>
    <row r="325" spans="1:26" s="134" customFormat="1" hidden="1" x14ac:dyDescent="0.25">
      <c r="A325" s="17"/>
      <c r="B325" s="24"/>
      <c r="C325" s="151"/>
      <c r="D325" s="401"/>
      <c r="E325" s="401"/>
      <c r="F325" s="401"/>
      <c r="G325" s="150"/>
      <c r="H325" s="149"/>
      <c r="I325" s="146"/>
      <c r="P325" s="260"/>
    </row>
    <row r="326" spans="1:26" s="134" customFormat="1" hidden="1" x14ac:dyDescent="0.25">
      <c r="A326" s="17"/>
      <c r="B326" s="27"/>
      <c r="C326" s="151"/>
      <c r="D326" s="401"/>
      <c r="E326" s="401"/>
      <c r="F326" s="401"/>
      <c r="G326" s="150"/>
      <c r="H326" s="149"/>
      <c r="I326" s="146"/>
      <c r="P326" s="260"/>
    </row>
    <row r="327" spans="1:26" s="28" customFormat="1" hidden="1" x14ac:dyDescent="0.25">
      <c r="A327" s="17"/>
      <c r="C327" s="124"/>
      <c r="D327" s="124"/>
      <c r="E327" s="124"/>
      <c r="F327" s="124"/>
      <c r="G327" s="124"/>
      <c r="H327" s="124"/>
      <c r="I327" s="124"/>
      <c r="J327" s="124"/>
      <c r="K327" s="124"/>
      <c r="L327" s="124"/>
      <c r="M327" s="124"/>
      <c r="P327" s="260"/>
      <c r="Q327"/>
      <c r="R327"/>
      <c r="S327"/>
      <c r="T327"/>
      <c r="U327"/>
      <c r="V327"/>
      <c r="W327"/>
      <c r="X327"/>
      <c r="Y327"/>
      <c r="Z327"/>
    </row>
    <row r="328" spans="1:26" s="262" customFormat="1" hidden="1" x14ac:dyDescent="0.25">
      <c r="A328" s="17"/>
      <c r="P328" s="260"/>
    </row>
    <row r="329" spans="1:26" s="258" customFormat="1" x14ac:dyDescent="0.25">
      <c r="A329" s="17"/>
      <c r="P329" s="260"/>
    </row>
    <row r="330" spans="1:26" x14ac:dyDescent="0.25">
      <c r="C330" s="25">
        <f>$D$14</f>
        <v>600045</v>
      </c>
      <c r="D330" s="408" t="str">
        <f>$D$16</f>
        <v>Youngstown State University</v>
      </c>
      <c r="E330" s="408"/>
      <c r="F330" s="408"/>
      <c r="G330" s="408"/>
      <c r="H330" s="408"/>
      <c r="I330" s="408"/>
      <c r="J330" s="408"/>
      <c r="K330" s="408"/>
      <c r="L330" s="28"/>
      <c r="M330" s="28"/>
      <c r="Q330" s="28"/>
      <c r="R330" s="28"/>
      <c r="S330" s="28"/>
      <c r="T330" s="28"/>
      <c r="U330" s="28"/>
      <c r="V330" s="28"/>
      <c r="W330" s="28"/>
      <c r="X330" s="28"/>
      <c r="Y330" s="28"/>
      <c r="Z330" s="28"/>
    </row>
    <row r="331" spans="1:26" s="28" customFormat="1" x14ac:dyDescent="0.25">
      <c r="A331" s="17"/>
      <c r="P331" s="260"/>
    </row>
    <row r="332" spans="1:26" s="159" customFormat="1" ht="18" x14ac:dyDescent="0.25">
      <c r="A332" s="17"/>
      <c r="B332" s="212" t="s">
        <v>40</v>
      </c>
      <c r="C332" s="213"/>
      <c r="D332" s="213"/>
      <c r="E332" s="213"/>
      <c r="F332" s="214"/>
      <c r="G332" s="213"/>
      <c r="H332" s="213"/>
      <c r="I332" s="213"/>
      <c r="J332" s="213"/>
      <c r="K332" s="213"/>
      <c r="L332" s="213"/>
      <c r="M332" s="213"/>
      <c r="N332" s="213"/>
      <c r="P332" s="260"/>
    </row>
    <row r="333" spans="1:26" s="279" customFormat="1" x14ac:dyDescent="0.25">
      <c r="A333" s="17"/>
      <c r="P333" s="260"/>
    </row>
    <row r="334" spans="1:26" s="378" customFormat="1" x14ac:dyDescent="0.25">
      <c r="A334" s="17"/>
      <c r="P334" s="3"/>
    </row>
    <row r="335" spans="1:26" s="378" customFormat="1" ht="47.25" customHeight="1" x14ac:dyDescent="0.25">
      <c r="A335" s="17"/>
      <c r="B335" s="379" t="s">
        <v>116</v>
      </c>
      <c r="C335" s="406" t="s">
        <v>139</v>
      </c>
      <c r="D335" s="406"/>
      <c r="E335" s="406"/>
      <c r="F335" s="411"/>
      <c r="G335" s="153">
        <v>1550</v>
      </c>
      <c r="H335" s="376" t="s">
        <v>113</v>
      </c>
      <c r="O335" s="296" t="str">
        <f>IF(P335=1, "&lt;===", "")</f>
        <v/>
      </c>
      <c r="P335" s="374" t="str">
        <f>IF(AND(G335="",D417&lt;&gt;""), 1, "")</f>
        <v/>
      </c>
    </row>
    <row r="336" spans="1:26" s="378" customFormat="1" x14ac:dyDescent="0.25">
      <c r="A336" s="17"/>
      <c r="P336" s="3"/>
    </row>
    <row r="337" spans="1:16" s="378" customFormat="1" x14ac:dyDescent="0.25">
      <c r="A337" s="17"/>
      <c r="P337" s="3"/>
    </row>
    <row r="338" spans="1:16" s="378" customFormat="1" ht="29.25" customHeight="1" x14ac:dyDescent="0.25">
      <c r="A338" s="17"/>
      <c r="B338" s="379" t="s">
        <v>117</v>
      </c>
      <c r="C338" s="404" t="s">
        <v>140</v>
      </c>
      <c r="D338" s="404"/>
      <c r="E338" s="404"/>
      <c r="F338" s="404"/>
      <c r="G338" s="404"/>
      <c r="H338" s="376"/>
      <c r="O338" s="296" t="str">
        <f>IF(P338=1, "&lt;===", "")</f>
        <v/>
      </c>
      <c r="P338" s="374" t="str">
        <f>IF(AND(G338="Please Select",D443&lt;&gt;""), 1, "")</f>
        <v/>
      </c>
    </row>
    <row r="339" spans="1:16" s="378" customFormat="1" x14ac:dyDescent="0.25">
      <c r="A339" s="17"/>
      <c r="P339" s="3"/>
    </row>
    <row r="340" spans="1:16" s="378" customFormat="1" ht="28.5" customHeight="1" x14ac:dyDescent="0.25">
      <c r="A340" s="17"/>
      <c r="D340" s="407" t="s">
        <v>120</v>
      </c>
      <c r="E340" s="407"/>
      <c r="F340" s="407"/>
      <c r="G340" s="153">
        <v>268</v>
      </c>
      <c r="H340" s="376" t="s">
        <v>113</v>
      </c>
      <c r="O340" s="375" t="str">
        <f>IF(P340=1, "&lt;===", "")</f>
        <v/>
      </c>
      <c r="P340" s="374" t="str">
        <f>IF(AND(G340="",D417&lt;&gt;""), 1, "")</f>
        <v/>
      </c>
    </row>
    <row r="341" spans="1:16" s="378" customFormat="1" x14ac:dyDescent="0.25">
      <c r="A341" s="17"/>
      <c r="P341" s="3"/>
    </row>
    <row r="342" spans="1:16" s="378" customFormat="1" ht="35.25" customHeight="1" x14ac:dyDescent="0.25">
      <c r="A342" s="17"/>
      <c r="C342" s="382"/>
      <c r="D342" s="407" t="s">
        <v>141</v>
      </c>
      <c r="E342" s="407"/>
      <c r="F342" s="412"/>
      <c r="G342" s="153">
        <v>550</v>
      </c>
      <c r="H342" s="376" t="s">
        <v>113</v>
      </c>
      <c r="O342" s="375" t="str">
        <f>IF(P342=1, "&lt;===", "")</f>
        <v/>
      </c>
      <c r="P342" s="374" t="str">
        <f>IF(AND(G342="",D417&lt;&gt;""), 1, "")</f>
        <v/>
      </c>
    </row>
    <row r="343" spans="1:16" s="378" customFormat="1" x14ac:dyDescent="0.25">
      <c r="A343" s="17"/>
      <c r="P343" s="3"/>
    </row>
    <row r="344" spans="1:16" s="378" customFormat="1" ht="27" customHeight="1" x14ac:dyDescent="0.25">
      <c r="A344" s="17"/>
      <c r="D344" s="407" t="s">
        <v>115</v>
      </c>
      <c r="E344" s="407"/>
      <c r="F344" s="407"/>
      <c r="G344" s="153">
        <v>200</v>
      </c>
      <c r="H344" s="376" t="s">
        <v>113</v>
      </c>
      <c r="O344" s="375" t="str">
        <f>IF(P344=1, "&lt;===", "")</f>
        <v/>
      </c>
      <c r="P344" s="374" t="str">
        <f>IF(AND(G344="",D417&lt;&gt;""), 1, "")</f>
        <v/>
      </c>
    </row>
    <row r="345" spans="1:16" s="378" customFormat="1" x14ac:dyDescent="0.25">
      <c r="A345" s="17"/>
      <c r="P345" s="3"/>
    </row>
    <row r="346" spans="1:16" s="378" customFormat="1" x14ac:dyDescent="0.25">
      <c r="A346" s="17"/>
      <c r="P346" s="3"/>
    </row>
    <row r="347" spans="1:16" s="378" customFormat="1" ht="29.25" customHeight="1" x14ac:dyDescent="0.25">
      <c r="A347" s="17"/>
      <c r="B347" s="380" t="s">
        <v>118</v>
      </c>
      <c r="C347" s="406" t="s">
        <v>142</v>
      </c>
      <c r="D347" s="406"/>
      <c r="E347" s="406"/>
      <c r="F347" s="411"/>
      <c r="G347" s="381">
        <v>2</v>
      </c>
      <c r="H347" s="376"/>
      <c r="O347" s="296" t="str">
        <f>IF(P347=1, "&lt;===", "")</f>
        <v/>
      </c>
      <c r="P347" s="374" t="str">
        <f>IF(AND(G347="",D417&lt;&gt;""), 1, "")</f>
        <v/>
      </c>
    </row>
    <row r="348" spans="1:16" s="378" customFormat="1" x14ac:dyDescent="0.25">
      <c r="A348" s="17"/>
      <c r="P348" s="3"/>
    </row>
    <row r="349" spans="1:16" s="378" customFormat="1" x14ac:dyDescent="0.25">
      <c r="A349" s="17"/>
      <c r="P349" s="3"/>
    </row>
    <row r="350" spans="1:16" s="378" customFormat="1" ht="29.25" customHeight="1" x14ac:dyDescent="0.25">
      <c r="A350" s="17"/>
      <c r="B350" s="379" t="s">
        <v>119</v>
      </c>
      <c r="C350" s="404" t="s">
        <v>121</v>
      </c>
      <c r="D350" s="404"/>
      <c r="E350" s="404"/>
      <c r="F350" s="405"/>
      <c r="G350" s="153">
        <v>16</v>
      </c>
      <c r="H350" s="376" t="s">
        <v>114</v>
      </c>
      <c r="O350" s="296" t="str">
        <f>IF(P350=1, "&lt;===", "")</f>
        <v/>
      </c>
      <c r="P350" s="374" t="str">
        <f>IF(AND(G350="",D417&lt;&gt;""), 1, "")</f>
        <v/>
      </c>
    </row>
    <row r="351" spans="1:16" s="378" customFormat="1" x14ac:dyDescent="0.25">
      <c r="A351" s="17"/>
      <c r="P351" s="3"/>
    </row>
    <row r="352" spans="1:16" s="378" customFormat="1" x14ac:dyDescent="0.25">
      <c r="A352" s="17"/>
      <c r="P352" s="3"/>
    </row>
    <row r="353" spans="1:16" s="378" customFormat="1" ht="29.25" customHeight="1" x14ac:dyDescent="0.25">
      <c r="A353" s="17"/>
      <c r="B353" s="379" t="s">
        <v>123</v>
      </c>
      <c r="C353" s="404" t="s">
        <v>122</v>
      </c>
      <c r="D353" s="404"/>
      <c r="E353" s="404"/>
      <c r="F353" s="405"/>
      <c r="G353" s="153" t="s">
        <v>169</v>
      </c>
      <c r="O353" s="296" t="str">
        <f>IF(P353=1, "&lt;===", "")</f>
        <v/>
      </c>
      <c r="P353" s="374" t="str">
        <f>IF(AND(G353="Please Select",D417&lt;&gt;""), 1, "")</f>
        <v/>
      </c>
    </row>
    <row r="354" spans="1:16" s="378" customFormat="1" x14ac:dyDescent="0.25">
      <c r="A354" s="17"/>
      <c r="P354" s="3"/>
    </row>
    <row r="355" spans="1:16" s="378" customFormat="1" x14ac:dyDescent="0.25">
      <c r="A355" s="17"/>
      <c r="P355" s="3"/>
    </row>
    <row r="356" spans="1:16" s="378" customFormat="1" ht="33.75" customHeight="1" x14ac:dyDescent="0.25">
      <c r="A356" s="17"/>
      <c r="B356" s="379" t="s">
        <v>124</v>
      </c>
      <c r="C356" s="406" t="s">
        <v>155</v>
      </c>
      <c r="D356" s="406"/>
      <c r="E356" s="406"/>
      <c r="F356" s="406"/>
      <c r="G356" s="406"/>
      <c r="H356" s="376"/>
      <c r="O356" s="296" t="str">
        <f>IF(P356=1, "&lt;===", "")</f>
        <v/>
      </c>
      <c r="P356" s="374" t="str">
        <f>IF(AND(G356="Please Select",D461&lt;&gt;""), 1, "")</f>
        <v/>
      </c>
    </row>
    <row r="357" spans="1:16" s="378" customFormat="1" x14ac:dyDescent="0.25">
      <c r="A357" s="17"/>
      <c r="J357" s="3" t="s">
        <v>35</v>
      </c>
      <c r="P357" s="3"/>
    </row>
    <row r="358" spans="1:16" s="378" customFormat="1" ht="28.5" customHeight="1" x14ac:dyDescent="0.25">
      <c r="A358" s="17"/>
      <c r="D358" s="407" t="s">
        <v>125</v>
      </c>
      <c r="E358" s="407"/>
      <c r="F358" s="407"/>
      <c r="G358" s="153" t="s">
        <v>166</v>
      </c>
      <c r="H358" s="376"/>
      <c r="J358" s="3" t="s">
        <v>131</v>
      </c>
      <c r="O358" s="375" t="str">
        <f>IF(P358=1, "&lt;===", "")</f>
        <v/>
      </c>
      <c r="P358" s="374" t="str">
        <f>IF(AND(G358="Please Select",D417&lt;&gt;""), 1, "")</f>
        <v/>
      </c>
    </row>
    <row r="359" spans="1:16" s="378" customFormat="1" x14ac:dyDescent="0.25">
      <c r="A359" s="17"/>
      <c r="J359" s="3" t="s">
        <v>132</v>
      </c>
      <c r="P359" s="3"/>
    </row>
    <row r="360" spans="1:16" s="378" customFormat="1" ht="35.25" customHeight="1" x14ac:dyDescent="0.25">
      <c r="A360" s="17"/>
      <c r="C360" s="382"/>
      <c r="D360" s="407" t="s">
        <v>126</v>
      </c>
      <c r="E360" s="407"/>
      <c r="F360" s="412"/>
      <c r="G360" s="153" t="s">
        <v>166</v>
      </c>
      <c r="H360" s="376"/>
      <c r="J360" s="3" t="s">
        <v>143</v>
      </c>
      <c r="O360" s="375" t="str">
        <f>IF(P360=1, "&lt;===", "")</f>
        <v/>
      </c>
      <c r="P360" s="374" t="str">
        <f>IF(AND(G360="Please Select",D417&lt;&gt;""), 1, "")</f>
        <v/>
      </c>
    </row>
    <row r="361" spans="1:16" s="378" customFormat="1" x14ac:dyDescent="0.25">
      <c r="A361" s="17"/>
      <c r="J361" s="3" t="s">
        <v>144</v>
      </c>
      <c r="P361" s="3"/>
    </row>
    <row r="362" spans="1:16" s="378" customFormat="1" ht="41.25" customHeight="1" x14ac:dyDescent="0.25">
      <c r="A362" s="17"/>
      <c r="D362" s="407" t="s">
        <v>127</v>
      </c>
      <c r="E362" s="407"/>
      <c r="F362" s="407"/>
      <c r="G362" s="153" t="s">
        <v>166</v>
      </c>
      <c r="H362" s="376"/>
      <c r="J362" s="3" t="s">
        <v>133</v>
      </c>
      <c r="O362" s="375" t="str">
        <f>IF(P362=1, "&lt;===", "")</f>
        <v/>
      </c>
      <c r="P362" s="374" t="str">
        <f>IF(AND(G362="Please Select",D417&lt;&gt;""), 1, "")</f>
        <v/>
      </c>
    </row>
    <row r="363" spans="1:16" s="378" customFormat="1" x14ac:dyDescent="0.25">
      <c r="A363" s="17"/>
      <c r="J363" s="3" t="s">
        <v>134</v>
      </c>
      <c r="P363" s="3"/>
    </row>
    <row r="364" spans="1:16" s="378" customFormat="1" ht="28.5" customHeight="1" x14ac:dyDescent="0.25">
      <c r="A364" s="17"/>
      <c r="D364" s="407" t="s">
        <v>128</v>
      </c>
      <c r="E364" s="407"/>
      <c r="F364" s="407"/>
      <c r="G364" s="153" t="s">
        <v>169</v>
      </c>
      <c r="H364" s="376"/>
      <c r="J364" s="3" t="s">
        <v>158</v>
      </c>
      <c r="O364" s="375" t="str">
        <f>IF(P364=1, "&lt;===", "")</f>
        <v/>
      </c>
      <c r="P364" s="374" t="str">
        <f>IF(AND(G364="Please Select",D417&lt;&gt;""), 1, "")</f>
        <v/>
      </c>
    </row>
    <row r="365" spans="1:16" s="378" customFormat="1" x14ac:dyDescent="0.25">
      <c r="A365" s="17"/>
      <c r="P365" s="3"/>
    </row>
    <row r="366" spans="1:16" s="378" customFormat="1" ht="35.25" customHeight="1" x14ac:dyDescent="0.25">
      <c r="A366" s="17"/>
      <c r="C366" s="382"/>
      <c r="D366" s="407" t="s">
        <v>129</v>
      </c>
      <c r="E366" s="407"/>
      <c r="F366" s="412"/>
      <c r="G366" s="153" t="s">
        <v>169</v>
      </c>
      <c r="H366" s="376"/>
      <c r="J366" s="390"/>
      <c r="K366" s="17"/>
      <c r="O366" s="375" t="str">
        <f>IF(P366=1, "&lt;===", "")</f>
        <v/>
      </c>
      <c r="P366" s="374" t="str">
        <f>IF(AND(G366="Please Select",D417&lt;&gt;""), 1, "")</f>
        <v/>
      </c>
    </row>
    <row r="367" spans="1:16" s="378" customFormat="1" x14ac:dyDescent="0.25">
      <c r="A367" s="17"/>
      <c r="J367" s="390"/>
      <c r="K367" s="17"/>
      <c r="P367" s="3"/>
    </row>
    <row r="368" spans="1:16" s="378" customFormat="1" x14ac:dyDescent="0.25">
      <c r="A368" s="17"/>
      <c r="K368" s="17"/>
      <c r="P368" s="3"/>
    </row>
    <row r="369" spans="1:17" s="378" customFormat="1" ht="33.75" customHeight="1" x14ac:dyDescent="0.25">
      <c r="A369" s="17"/>
      <c r="B369" s="379" t="s">
        <v>130</v>
      </c>
      <c r="C369" s="404" t="s">
        <v>156</v>
      </c>
      <c r="D369" s="404"/>
      <c r="E369" s="404"/>
      <c r="F369" s="405"/>
      <c r="G369" s="153" t="s">
        <v>131</v>
      </c>
      <c r="K369" s="17"/>
      <c r="L369" s="383"/>
      <c r="M369" s="383"/>
      <c r="O369" s="296" t="str">
        <f>IF(P369=1, "&lt;===", "")</f>
        <v/>
      </c>
      <c r="P369" s="374" t="str">
        <f>IF(AND(G369="Please Select",D417&lt;&gt;""), 1, "")</f>
        <v/>
      </c>
    </row>
    <row r="370" spans="1:17" s="378" customFormat="1" ht="27" customHeight="1" x14ac:dyDescent="0.25">
      <c r="A370" s="17"/>
      <c r="K370" s="17"/>
      <c r="P370" s="3"/>
    </row>
    <row r="371" spans="1:17" s="385" customFormat="1" x14ac:dyDescent="0.25">
      <c r="A371" s="17"/>
      <c r="J371" s="390"/>
      <c r="P371" s="3"/>
    </row>
    <row r="372" spans="1:17" s="389" customFormat="1" ht="44.25" customHeight="1" x14ac:dyDescent="0.25">
      <c r="A372" s="17"/>
      <c r="B372" s="379" t="s">
        <v>135</v>
      </c>
      <c r="C372" s="406" t="s">
        <v>151</v>
      </c>
      <c r="D372" s="406"/>
      <c r="E372" s="406"/>
      <c r="F372" s="406"/>
      <c r="G372" s="406"/>
      <c r="H372" s="406"/>
      <c r="I372" s="406"/>
      <c r="J372" s="406"/>
      <c r="K372" s="391"/>
      <c r="L372" s="391"/>
      <c r="O372" s="296"/>
      <c r="P372" s="386"/>
    </row>
    <row r="373" spans="1:17" s="389" customFormat="1" x14ac:dyDescent="0.25">
      <c r="A373" s="17"/>
      <c r="H373" s="418" t="s">
        <v>152</v>
      </c>
      <c r="I373" s="418"/>
      <c r="J373" s="418"/>
      <c r="K373" s="391"/>
      <c r="L373" s="391"/>
      <c r="P373" s="3"/>
    </row>
    <row r="374" spans="1:17" s="389" customFormat="1" ht="30.75" customHeight="1" x14ac:dyDescent="0.25">
      <c r="A374" s="17"/>
      <c r="H374" s="418"/>
      <c r="I374" s="418"/>
      <c r="J374" s="418"/>
      <c r="K374" s="17"/>
      <c r="P374" s="3"/>
    </row>
    <row r="375" spans="1:17" s="389" customFormat="1" ht="21.75" customHeight="1" x14ac:dyDescent="0.25">
      <c r="A375" s="17"/>
      <c r="D375" s="407" t="s">
        <v>147</v>
      </c>
      <c r="E375" s="407"/>
      <c r="F375" s="407"/>
      <c r="G375" s="153" t="s">
        <v>166</v>
      </c>
      <c r="H375" s="388"/>
      <c r="I375" s="392">
        <v>80</v>
      </c>
      <c r="J375" s="393" t="s">
        <v>153</v>
      </c>
      <c r="O375" s="387" t="str">
        <f>IF(OR(P375=1,Q375=1), "&lt;===", "")</f>
        <v/>
      </c>
      <c r="P375" s="386" t="str">
        <f>IF(AND(G375="Please Select",D417&lt;&gt;""), 1, "")</f>
        <v/>
      </c>
      <c r="Q375" s="3" t="str">
        <f>IF(AND(I375="",D417&lt;&gt;""), 1, "")</f>
        <v/>
      </c>
    </row>
    <row r="376" spans="1:17" s="389" customFormat="1" x14ac:dyDescent="0.25">
      <c r="A376" s="17"/>
      <c r="J376" s="394"/>
      <c r="P376" s="3"/>
      <c r="Q376" s="3"/>
    </row>
    <row r="377" spans="1:17" s="389" customFormat="1" ht="21.75" customHeight="1" x14ac:dyDescent="0.25">
      <c r="A377" s="17"/>
      <c r="C377" s="382"/>
      <c r="D377" s="407" t="s">
        <v>148</v>
      </c>
      <c r="E377" s="407"/>
      <c r="F377" s="412"/>
      <c r="G377" s="153" t="s">
        <v>166</v>
      </c>
      <c r="H377" s="388"/>
      <c r="I377" s="392">
        <v>20</v>
      </c>
      <c r="J377" s="393" t="s">
        <v>153</v>
      </c>
      <c r="O377" s="387" t="str">
        <f>IF(OR(P377=1,Q377=1), "&lt;===", "")</f>
        <v/>
      </c>
      <c r="P377" s="386" t="str">
        <f>IF(AND(G377="Please Select",D417&lt;&gt;""), 1, "")</f>
        <v/>
      </c>
      <c r="Q377" s="3" t="str">
        <f>IF(AND(I377="",D417&lt;&gt;""), 1, "")</f>
        <v/>
      </c>
    </row>
    <row r="378" spans="1:17" s="389" customFormat="1" x14ac:dyDescent="0.25">
      <c r="A378" s="17"/>
      <c r="J378" s="394"/>
      <c r="P378" s="3"/>
      <c r="Q378" s="3"/>
    </row>
    <row r="379" spans="1:17" s="389" customFormat="1" ht="21.75" customHeight="1" x14ac:dyDescent="0.25">
      <c r="A379" s="17"/>
      <c r="D379" s="407" t="s">
        <v>149</v>
      </c>
      <c r="E379" s="407"/>
      <c r="F379" s="407"/>
      <c r="G379" s="153" t="s">
        <v>172</v>
      </c>
      <c r="H379" s="388"/>
      <c r="I379" s="392">
        <v>0</v>
      </c>
      <c r="J379" s="393" t="s">
        <v>153</v>
      </c>
      <c r="O379" s="387" t="str">
        <f>IF(OR(P379=1,Q379=1), "&lt;===", "")</f>
        <v/>
      </c>
      <c r="P379" s="386" t="str">
        <f>IF(AND(G379="Please Select",D417&lt;&gt;""), 1, "")</f>
        <v/>
      </c>
      <c r="Q379" s="3" t="str">
        <f>IF(AND(I379="",D417&lt;&gt;""), 1, "")</f>
        <v/>
      </c>
    </row>
    <row r="380" spans="1:17" s="389" customFormat="1" x14ac:dyDescent="0.25">
      <c r="A380" s="17"/>
      <c r="J380" s="394"/>
      <c r="P380" s="3"/>
      <c r="Q380" s="3"/>
    </row>
    <row r="381" spans="1:17" s="389" customFormat="1" ht="21.75" customHeight="1" x14ac:dyDescent="0.25">
      <c r="A381" s="17"/>
      <c r="D381" s="407" t="s">
        <v>150</v>
      </c>
      <c r="E381" s="407"/>
      <c r="F381" s="407"/>
      <c r="G381" s="153" t="s">
        <v>172</v>
      </c>
      <c r="H381" s="388"/>
      <c r="I381" s="392">
        <v>0</v>
      </c>
      <c r="J381" s="393" t="s">
        <v>153</v>
      </c>
      <c r="O381" s="387" t="str">
        <f>IF(OR(P381=1,Q381=1), "&lt;===", "")</f>
        <v/>
      </c>
      <c r="P381" s="386" t="str">
        <f>IF(AND(G381="Please Select",D417&lt;&gt;""), 1, "")</f>
        <v/>
      </c>
      <c r="Q381" s="3" t="str">
        <f>IF(AND(I381="",D417&lt;&gt;""), 1, "")</f>
        <v/>
      </c>
    </row>
    <row r="382" spans="1:17" s="389" customFormat="1" ht="27" customHeight="1" x14ac:dyDescent="0.3">
      <c r="A382" s="17"/>
      <c r="I382" s="395">
        <f>SUM(I375,I377,I379,I381)</f>
        <v>100</v>
      </c>
      <c r="J382" s="396" t="s">
        <v>154</v>
      </c>
      <c r="O382" s="387" t="str">
        <f>IF(P382=1, "&lt;===", "")</f>
        <v/>
      </c>
      <c r="P382" s="3" t="str">
        <f>IF(AND(I382&gt;100,D417&lt;&gt;""), 1, "")</f>
        <v/>
      </c>
      <c r="Q382" s="3"/>
    </row>
    <row r="383" spans="1:17" s="389" customFormat="1" ht="26.25" customHeight="1" x14ac:dyDescent="0.25">
      <c r="A383" s="17"/>
      <c r="I383" s="397" t="str">
        <f>IF(I382&gt;100,"
Total cannot be greater than 100%","")</f>
        <v/>
      </c>
      <c r="J383" s="398"/>
      <c r="K383" s="398"/>
      <c r="L383" s="398"/>
      <c r="M383" s="398"/>
      <c r="N383" s="398"/>
      <c r="P383" s="3"/>
    </row>
    <row r="384" spans="1:17" s="389" customFormat="1" x14ac:dyDescent="0.25">
      <c r="A384" s="17"/>
      <c r="J384" s="17"/>
      <c r="K384" s="17"/>
      <c r="P384" s="3"/>
    </row>
    <row r="385" spans="1:16" ht="29.25" customHeight="1" x14ac:dyDescent="0.25">
      <c r="B385" s="384" t="s">
        <v>136</v>
      </c>
      <c r="C385" s="404" t="str">
        <f>"Did the Program Director attend ACCREDITCON in " &amp; D4+1 &amp;" ?"</f>
        <v>Did the Program Director attend ACCREDITCON in 2019 ?</v>
      </c>
      <c r="D385" s="404"/>
      <c r="E385" s="404"/>
      <c r="F385" s="405"/>
      <c r="G385" s="153" t="s">
        <v>169</v>
      </c>
      <c r="H385" s="28"/>
      <c r="I385" s="350"/>
      <c r="K385" s="17"/>
      <c r="L385" s="28"/>
      <c r="M385" s="28"/>
      <c r="O385" s="296" t="str">
        <f>IF(P385=1, "&lt;===", "")</f>
        <v/>
      </c>
      <c r="P385" s="278" t="str">
        <f>IF(AND(G385="Please Select",D417&lt;&gt;""), 1, "")</f>
        <v/>
      </c>
    </row>
    <row r="386" spans="1:16" x14ac:dyDescent="0.25">
      <c r="C386" s="28"/>
      <c r="D386" s="28"/>
      <c r="E386" s="28"/>
      <c r="F386" s="28"/>
      <c r="G386" s="28"/>
      <c r="H386" s="28"/>
      <c r="I386" s="28"/>
      <c r="K386" s="17"/>
      <c r="L386" s="28"/>
      <c r="M386" s="28"/>
      <c r="P386" s="3"/>
    </row>
    <row r="387" spans="1:16" s="155" customFormat="1" ht="35.25" customHeight="1" x14ac:dyDescent="0.25">
      <c r="A387" s="17"/>
      <c r="B387" s="379" t="s">
        <v>137</v>
      </c>
      <c r="C387" s="406" t="str">
        <f>"Did any other personnel associated with the Paramedic educational program attend ACCREDITCON in " &amp; D4+1 &amp;" ?"</f>
        <v>Did any other personnel associated with the Paramedic educational program attend ACCREDITCON in 2019 ?</v>
      </c>
      <c r="D387" s="406"/>
      <c r="E387" s="406"/>
      <c r="F387" s="411"/>
      <c r="G387" s="153" t="s">
        <v>169</v>
      </c>
      <c r="I387" s="350"/>
      <c r="K387" s="17"/>
      <c r="O387" s="296" t="str">
        <f>IF(P387=1, "&lt;===", "")</f>
        <v/>
      </c>
      <c r="P387" s="278" t="str">
        <f>IF(AND(G387="Please Select",D417&lt;&gt;""), 1, "")</f>
        <v/>
      </c>
    </row>
    <row r="388" spans="1:16" s="378" customFormat="1" x14ac:dyDescent="0.25">
      <c r="A388" s="17"/>
      <c r="C388" s="377" t="str">
        <f>IF(G386="Yes", "List the Name(s) and Title(s):","")</f>
        <v/>
      </c>
      <c r="J388" s="3" t="s">
        <v>145</v>
      </c>
      <c r="P388" s="3"/>
    </row>
    <row r="389" spans="1:16" x14ac:dyDescent="0.25">
      <c r="C389" s="28"/>
      <c r="D389" s="28"/>
      <c r="E389" s="28"/>
      <c r="F389" s="28"/>
      <c r="G389" s="28"/>
      <c r="H389" s="28"/>
      <c r="I389" s="28"/>
      <c r="J389" s="28"/>
      <c r="K389" s="28"/>
      <c r="L389" s="28"/>
      <c r="M389" s="28"/>
      <c r="P389" s="3"/>
    </row>
    <row r="390" spans="1:16" x14ac:dyDescent="0.25">
      <c r="C390" s="154" t="str">
        <f>IF(G387="Yes", "List the Name(s) and Title(s):","")</f>
        <v/>
      </c>
      <c r="D390" s="28"/>
      <c r="E390" s="28"/>
      <c r="F390" s="28"/>
      <c r="G390" s="28"/>
      <c r="H390" s="28"/>
      <c r="I390" s="28"/>
      <c r="J390" s="28"/>
      <c r="K390" s="28"/>
      <c r="L390" s="28"/>
      <c r="M390" s="28"/>
      <c r="O390" s="414" t="str">
        <f>IF(P390=1, "&lt;===", "")</f>
        <v/>
      </c>
      <c r="P390" s="413" t="str">
        <f>IF(AND(G387="Yes",C391="",D417&lt;&gt;""), 1, "")</f>
        <v/>
      </c>
    </row>
    <row r="391" spans="1:16" x14ac:dyDescent="0.25">
      <c r="C391" s="416"/>
      <c r="D391" s="416"/>
      <c r="E391" s="416"/>
      <c r="F391" s="416"/>
      <c r="G391" s="416"/>
      <c r="H391" s="28"/>
      <c r="I391" s="348"/>
      <c r="J391" s="28"/>
      <c r="K391" s="28"/>
      <c r="L391" s="28"/>
      <c r="M391" s="28"/>
      <c r="O391" s="414"/>
      <c r="P391" s="413"/>
    </row>
    <row r="392" spans="1:16" x14ac:dyDescent="0.25">
      <c r="C392" s="416"/>
      <c r="D392" s="416"/>
      <c r="E392" s="416"/>
      <c r="F392" s="416"/>
      <c r="G392" s="416"/>
      <c r="H392" s="28"/>
      <c r="I392" s="28"/>
      <c r="J392" s="28"/>
      <c r="K392" s="28"/>
      <c r="L392" s="28"/>
      <c r="M392" s="28"/>
      <c r="O392" s="16"/>
      <c r="P392" s="3"/>
    </row>
    <row r="393" spans="1:16" ht="29.25" customHeight="1" x14ac:dyDescent="0.25">
      <c r="C393" s="416"/>
      <c r="D393" s="416"/>
      <c r="E393" s="416"/>
      <c r="F393" s="416"/>
      <c r="G393" s="416"/>
      <c r="P393" s="3"/>
    </row>
    <row r="394" spans="1:16" ht="31.5" customHeight="1" x14ac:dyDescent="0.25">
      <c r="C394" s="416"/>
      <c r="D394" s="416"/>
      <c r="E394" s="416"/>
      <c r="F394" s="416"/>
      <c r="G394" s="416"/>
      <c r="P394" s="3"/>
    </row>
    <row r="395" spans="1:16" ht="26.25" customHeight="1" x14ac:dyDescent="0.25">
      <c r="C395" s="416"/>
      <c r="D395" s="416"/>
      <c r="E395" s="416"/>
      <c r="F395" s="416"/>
      <c r="G395" s="416"/>
      <c r="P395" s="3"/>
    </row>
    <row r="396" spans="1:16" s="305" customFormat="1" x14ac:dyDescent="0.25">
      <c r="A396" s="17"/>
      <c r="P396" s="3"/>
    </row>
    <row r="397" spans="1:16" s="322" customFormat="1" ht="29.25" customHeight="1" x14ac:dyDescent="0.25">
      <c r="A397" s="17"/>
      <c r="B397" s="379" t="s">
        <v>138</v>
      </c>
      <c r="C397" s="404" t="s">
        <v>83</v>
      </c>
      <c r="D397" s="404"/>
      <c r="E397" s="404"/>
      <c r="F397" s="405"/>
      <c r="G397" s="153" t="s">
        <v>169</v>
      </c>
      <c r="I397" s="17"/>
      <c r="O397" s="296" t="str">
        <f>IF(P397=1, "&lt;===", "")</f>
        <v/>
      </c>
      <c r="P397" s="278" t="str">
        <f>IF(AND(G397="Please Select",D417&lt;&gt;""), 1, "")</f>
        <v/>
      </c>
    </row>
    <row r="398" spans="1:16" s="322" customFormat="1" x14ac:dyDescent="0.25">
      <c r="A398" s="17"/>
      <c r="P398" s="3"/>
    </row>
    <row r="399" spans="1:16" s="322" customFormat="1" ht="46.5" customHeight="1" x14ac:dyDescent="0.25">
      <c r="A399" s="17"/>
      <c r="B399" s="379" t="s">
        <v>146</v>
      </c>
      <c r="C399" s="404" t="s">
        <v>157</v>
      </c>
      <c r="D399" s="404"/>
      <c r="E399" s="404"/>
      <c r="F399" s="405"/>
      <c r="G399" s="153" t="s">
        <v>169</v>
      </c>
      <c r="O399" s="296" t="str">
        <f>IF(P399=1, "&lt;===", "")</f>
        <v/>
      </c>
      <c r="P399" s="278" t="str">
        <f>IF(AND(G399="Please Select",D417&lt;&gt;""), 1, "")</f>
        <v/>
      </c>
    </row>
    <row r="400" spans="1:16" s="322" customFormat="1" x14ac:dyDescent="0.25">
      <c r="A400" s="17"/>
      <c r="P400" s="3"/>
    </row>
    <row r="401" spans="1:20" s="322" customFormat="1" x14ac:dyDescent="0.25">
      <c r="A401" s="17"/>
      <c r="C401" s="323" t="str">
        <f>IF(G399="Yes", "List the Name(s) and Title(s):","")</f>
        <v/>
      </c>
      <c r="P401" s="3"/>
    </row>
    <row r="402" spans="1:20" s="322" customFormat="1" x14ac:dyDescent="0.25">
      <c r="A402" s="17"/>
      <c r="C402" s="416"/>
      <c r="D402" s="416"/>
      <c r="E402" s="416"/>
      <c r="F402" s="416"/>
      <c r="G402" s="416"/>
      <c r="O402" s="414" t="str">
        <f>IF(P402=1, "&lt;===", "")</f>
        <v/>
      </c>
      <c r="P402" s="413" t="str">
        <f>IF(AND(G399="Yes",C402="",D417&lt;&gt;""), 1, "")</f>
        <v/>
      </c>
    </row>
    <row r="403" spans="1:20" s="322" customFormat="1" x14ac:dyDescent="0.25">
      <c r="A403" s="17"/>
      <c r="C403" s="416"/>
      <c r="D403" s="416"/>
      <c r="E403" s="416"/>
      <c r="F403" s="416"/>
      <c r="G403" s="416"/>
      <c r="O403" s="414"/>
      <c r="P403" s="413"/>
    </row>
    <row r="404" spans="1:20" s="322" customFormat="1" ht="29.25" customHeight="1" x14ac:dyDescent="0.25">
      <c r="A404" s="17"/>
      <c r="C404" s="416"/>
      <c r="D404" s="416"/>
      <c r="E404" s="416"/>
      <c r="F404" s="416"/>
      <c r="G404" s="416"/>
      <c r="P404" s="3"/>
    </row>
    <row r="405" spans="1:20" s="322" customFormat="1" ht="31.5" customHeight="1" x14ac:dyDescent="0.25">
      <c r="A405" s="17"/>
      <c r="C405" s="416"/>
      <c r="D405" s="416"/>
      <c r="E405" s="416"/>
      <c r="F405" s="416"/>
      <c r="G405" s="416"/>
      <c r="P405" s="3"/>
    </row>
    <row r="406" spans="1:20" s="322" customFormat="1" ht="26.25" customHeight="1" x14ac:dyDescent="0.25">
      <c r="A406" s="17"/>
      <c r="C406" s="416"/>
      <c r="D406" s="416"/>
      <c r="E406" s="416"/>
      <c r="F406" s="416"/>
      <c r="G406" s="416"/>
      <c r="H406" s="348"/>
      <c r="P406" s="3"/>
    </row>
    <row r="407" spans="1:20" s="305" customFormat="1" x14ac:dyDescent="0.25">
      <c r="A407" s="17"/>
      <c r="P407" s="3"/>
    </row>
    <row r="408" spans="1:20" s="378" customFormat="1" x14ac:dyDescent="0.25">
      <c r="A408" s="17"/>
      <c r="P408" s="3"/>
    </row>
    <row r="409" spans="1:20" s="132" customFormat="1" ht="18.75" x14ac:dyDescent="0.25">
      <c r="A409" s="17"/>
      <c r="C409" s="609" t="str">
        <f>"Which Month(s) Will Cohort(s) Begin in the " &amp; D4+2 &amp;" Calendar Year?"</f>
        <v>Which Month(s) Will Cohort(s) Begin in the 2020 Calendar Year?</v>
      </c>
      <c r="D409" s="609"/>
      <c r="E409" s="609"/>
      <c r="F409" s="610"/>
      <c r="G409" s="616" t="s">
        <v>173</v>
      </c>
      <c r="H409" s="617"/>
      <c r="I409" s="617"/>
      <c r="J409" s="617"/>
      <c r="K409" s="617"/>
      <c r="L409" s="617"/>
      <c r="M409" s="618"/>
      <c r="N409" s="325"/>
      <c r="O409" s="277" t="str">
        <f>IF(P409=1, "&lt;===", "")</f>
        <v/>
      </c>
      <c r="P409" s="278" t="str">
        <f>IF(AND(G409="", D417&lt;&gt;""), 1, "")</f>
        <v/>
      </c>
      <c r="Q409" s="324"/>
      <c r="R409" s="3" t="s">
        <v>80</v>
      </c>
      <c r="S409" s="3">
        <f>IF(OR(G231="Please Select",G231="Yes"),67,67)</f>
        <v>67</v>
      </c>
      <c r="T409" s="260"/>
    </row>
    <row r="410" spans="1:20" s="132" customFormat="1" ht="5.25" customHeight="1" x14ac:dyDescent="0.25">
      <c r="A410" s="17"/>
      <c r="C410" s="171"/>
      <c r="D410" s="171"/>
      <c r="E410" s="171"/>
      <c r="F410" s="171"/>
      <c r="P410" s="3"/>
      <c r="R410" s="260"/>
      <c r="S410" s="260"/>
      <c r="T410" s="260"/>
    </row>
    <row r="411" spans="1:20" s="132" customFormat="1" ht="18.75" x14ac:dyDescent="0.25">
      <c r="A411" s="17"/>
      <c r="C411" s="614" t="str">
        <f>"Which Month(s) Will Cohort(s) Graduate in the " &amp; D4+2 &amp;" Calendar Year?"</f>
        <v>Which Month(s) Will Cohort(s) Graduate in the 2020 Calendar Year?</v>
      </c>
      <c r="D411" s="614"/>
      <c r="E411" s="614"/>
      <c r="F411" s="615"/>
      <c r="G411" s="531" t="s">
        <v>174</v>
      </c>
      <c r="H411" s="532"/>
      <c r="I411" s="532"/>
      <c r="J411" s="532"/>
      <c r="K411" s="532"/>
      <c r="L411" s="532"/>
      <c r="M411" s="533"/>
      <c r="O411" s="277" t="str">
        <f>IF(P411=1, "&lt;===", "")</f>
        <v/>
      </c>
      <c r="P411" s="278" t="str">
        <f>IF(AND(G411="", D417&lt;&gt;""), 1, "")</f>
        <v/>
      </c>
      <c r="R411" s="260"/>
      <c r="S411" s="260"/>
      <c r="T411" s="260"/>
    </row>
    <row r="412" spans="1:20" s="305" customFormat="1" x14ac:dyDescent="0.25">
      <c r="A412" s="17"/>
      <c r="P412" s="3"/>
    </row>
    <row r="413" spans="1:20" s="305" customFormat="1" x14ac:dyDescent="0.25">
      <c r="A413" s="17"/>
      <c r="P413" s="3"/>
    </row>
    <row r="414" spans="1:20" x14ac:dyDescent="0.25">
      <c r="P414" s="3"/>
    </row>
    <row r="415" spans="1:20" s="234" customFormat="1" ht="49.5" customHeight="1" x14ac:dyDescent="0.25">
      <c r="A415" s="17"/>
      <c r="B415" s="241"/>
      <c r="C415" s="242" t="s">
        <v>166</v>
      </c>
      <c r="D415" s="622" t="s">
        <v>69</v>
      </c>
      <c r="E415" s="622"/>
      <c r="F415" s="622"/>
      <c r="G415" s="622"/>
      <c r="H415" s="622"/>
      <c r="I415" s="622"/>
      <c r="J415" s="622"/>
      <c r="O415" s="296" t="str">
        <f>IF(P415=1, "&lt;===", "")</f>
        <v/>
      </c>
      <c r="P415" s="278" t="str">
        <f>IF(AND(C415="Please Select",D417&lt;&gt;""), 1, "")</f>
        <v/>
      </c>
    </row>
    <row r="416" spans="1:20" s="234" customFormat="1" x14ac:dyDescent="0.25">
      <c r="A416" s="17"/>
      <c r="C416" s="620" t="s">
        <v>67</v>
      </c>
      <c r="D416" s="620"/>
      <c r="E416" s="620"/>
      <c r="F416" s="620"/>
      <c r="P416" s="260"/>
    </row>
    <row r="417" spans="1:16" s="234" customFormat="1" x14ac:dyDescent="0.25">
      <c r="A417" s="17"/>
      <c r="C417" s="234" t="s">
        <v>84</v>
      </c>
      <c r="D417" s="621" t="s">
        <v>179</v>
      </c>
      <c r="E417" s="621"/>
      <c r="P417" s="260"/>
    </row>
    <row r="418" spans="1:16" s="234" customFormat="1" x14ac:dyDescent="0.25">
      <c r="A418" s="17"/>
      <c r="C418" s="234" t="s">
        <v>68</v>
      </c>
      <c r="D418" s="399">
        <v>44039</v>
      </c>
      <c r="E418" s="255" t="s">
        <v>70</v>
      </c>
      <c r="P418" s="260"/>
    </row>
    <row r="421" spans="1:16" s="273" customFormat="1" ht="74.25" customHeight="1" x14ac:dyDescent="0.25">
      <c r="A421" s="17"/>
      <c r="D421" s="619" t="str">
        <f>IF(AND(D417&lt;&gt;"", OR(O14&lt;&gt;"",O16&lt;&gt;"",O18&lt;&gt;"",O21&lt;&gt;"",O25&lt;&gt;"",O28&lt;&gt;"",O44&lt;&gt;"",O54&lt;&gt;"",O55&lt;&gt;"",O56&lt;&gt;"",O59&lt;&gt;"",O60&lt;&gt;"",O61&lt;&gt;"",X49&lt;&gt;"",X53&lt;&gt;"",X57&lt;&gt;"",X64&lt;&gt;"",AG49&lt;&gt;"",AG55&lt;&gt;"",AG60&lt;&gt;"",AG64&lt;&gt;"",AY49&lt;&gt;"",AY54&lt;&gt;"",AY64&lt;&gt;"",BH49&lt;&gt;"",BH53&lt;&gt;"",BH57&lt;&gt;"",BH64&lt;&gt;"",BQ49&lt;&gt;"",BQ64&lt;&gt;"",O74&lt;&gt;"",O77&lt;&gt;"",O85&lt;&gt;"",O86&lt;&gt;"",O87&lt;&gt;"",X78&lt;&gt;"",X81&lt;&gt;"",X86&lt;&gt;"",X89&lt;&gt;"",AG78&lt;&gt;"",AG86&lt;&gt;"",AG89&lt;&gt;"",AP78&lt;&gt;"",AP86&lt;&gt;"",AP89&lt;&gt;"",AY78&lt;&gt;"",AY86&lt;&gt;"",AY89&lt;&gt;"",BH78&lt;&gt;"",BH81&lt;&gt;"",BQ78&lt;&gt;"",BQ80&lt;&gt;"",CF78&lt;&gt;"",CF80&lt;&gt;"",CF88&lt;&gt;"",O108&lt;&gt;"",O109&lt;&gt;"",X102&lt;&gt;"",X112&lt;&gt;"",AG102&lt;&gt;"",AG105&lt;&gt;"",AP102&lt;&gt;"",AY102&lt;&gt;"",BH102&lt;&gt;"",O127&lt;&gt;"",O128&lt;&gt;"",Y122&lt;&gt;"",AI122&lt;&gt;"",O165&lt;&gt;"",O166&lt;&gt;"",Y159&lt;&gt;"",AI159&lt;&gt;"",O201&lt;&gt;"",O203&lt;&gt;"",O231&lt;&gt;"",O233&lt;&gt;"",H242&lt;&gt;"",H245&lt;&gt;"",H270&lt;&gt;"",O242&lt;&gt;"",O245&lt;&gt;"",O270&lt;&gt;"",X242&lt;&gt;"",X245&lt;&gt;"",X270&lt;&gt;"",AG242&lt;&gt;"",AG245&lt;&gt;"",AB270&lt;&gt;"",AQ242&lt;&gt;"",AQ245&lt;&gt;"",AQ270&lt;&gt;"",AZ242&lt;&gt;"",AZ245&lt;&gt;"",AZ270&lt;&gt;"",BI242&lt;&gt;"",BI245&lt;&gt;"",BI270&lt;&gt;"",BR242&lt;&gt;"",BR245&lt;&gt;"",BR270&lt;&gt;"",CA242&lt;&gt;"",CA245&lt;&gt;"",CA270&lt;&gt;"",CJ242&lt;&gt;"",CJ245&lt;&gt;"",CJ270&lt;&gt;"",O335&lt;&gt;"",O340&lt;&gt;"",O342&lt;&gt;"",O344&lt;&gt;"",O347&lt;&gt;"",O350&lt;&gt;"",O353&lt;&gt;"",O358&lt;&gt;"",O360&lt;&gt;"",O362&lt;&gt;"",O364&lt;&gt;"",O366&lt;&gt;"",O369&lt;&gt;"",O375&lt;&gt;"",O377&lt;&gt;"",O379&lt;&gt;"",O381&lt;&gt;"",O382&lt;&gt;"",O385&lt;&gt;"",O387&lt;&gt;"",O390&lt;&gt;"",O397&lt;&gt;"",O399&lt;&gt;"",O402&lt;&gt;"",O409&lt;&gt;"",O411&lt;&gt;"",O415&lt;&gt;"")),"There are items that have not been answered.  This message will no longer appear once all required items have been answered.  Please review and complete all blank cells identified by this symbol [&lt;===].", "")</f>
        <v/>
      </c>
      <c r="E421" s="619"/>
      <c r="F421" s="619"/>
      <c r="G421" s="619"/>
      <c r="H421" s="619"/>
      <c r="I421" s="619"/>
      <c r="J421" s="619"/>
      <c r="K421" s="619"/>
      <c r="L421" s="619"/>
      <c r="M421" s="619"/>
      <c r="P421" s="260"/>
    </row>
    <row r="422" spans="1:16" s="273" customFormat="1" x14ac:dyDescent="0.25">
      <c r="A422" s="17"/>
      <c r="P422" s="260"/>
    </row>
    <row r="423" spans="1:16" ht="14.25" customHeight="1" x14ac:dyDescent="0.25"/>
    <row r="424" spans="1:16" ht="63" customHeight="1" x14ac:dyDescent="0.45">
      <c r="C424" s="431" t="str">
        <f>IF(D417&lt;&gt;"","Thank you for completing the "&amp;D4&amp;" Annual Report.  
Be sure to check your data then submit this completed template","")</f>
        <v>Thank you for completing the 2018 Annual Report.  
Be sure to check your data then submit this completed template</v>
      </c>
      <c r="D424" s="431"/>
      <c r="E424" s="431"/>
      <c r="F424" s="431"/>
      <c r="G424" s="431"/>
      <c r="H424" s="431"/>
      <c r="I424" s="431"/>
      <c r="J424" s="431"/>
      <c r="K424" s="431"/>
      <c r="L424" s="431"/>
      <c r="M424" s="431"/>
      <c r="N424" s="431"/>
    </row>
    <row r="425" spans="1:16" ht="28.5" x14ac:dyDescent="0.45">
      <c r="C425" s="427" t="str">
        <f>IF(D417&lt;&gt;"","no later than March 30, " &amp;D4+2 &amp; " by emailing annualreports@coaemsp.org","")</f>
        <v>no later than March 30, 2020 by emailing annualreports@coaemsp.org</v>
      </c>
      <c r="D425" s="427"/>
      <c r="E425" s="427"/>
      <c r="F425" s="427"/>
      <c r="G425" s="427"/>
      <c r="H425" s="427"/>
      <c r="I425" s="427"/>
      <c r="J425" s="427"/>
      <c r="K425" s="427"/>
      <c r="L425" s="427"/>
      <c r="M425" s="427"/>
      <c r="N425" s="427"/>
    </row>
  </sheetData>
  <sheetProtection algorithmName="SHA-512" hashValue="3MMC7GfBGjDphzhjTPo3FtETdRCxfmYHSn7QnF5YXrz1aYmm2CeoXoP8yCX8PMcOd9Hkf6MhQMOqwXKsQjLPRg==" saltValue="n5o1VFzFz78eE6uQYl2x9A==" spinCount="100000" sheet="1" objects="1" scenarios="1" formatRows="0" selectLockedCells="1"/>
  <customSheetViews>
    <customSheetView guid="{993DF57F-A792-4998-A444-891BBBD74251}" scale="110" showPageBreaks="1" printArea="1" topLeftCell="A55">
      <selection activeCell="F62" sqref="F62"/>
      <rowBreaks count="8" manualBreakCount="8">
        <brk id="42" max="68" man="1"/>
        <brk id="71" max="82" man="1"/>
        <brk id="93" max="82" man="1"/>
        <brk id="113" max="82" man="1"/>
        <brk id="148" max="82" man="1"/>
        <brk id="184" max="82" man="1"/>
        <brk id="228" max="16383" man="1"/>
        <brk id="287" max="82" man="1"/>
      </rowBreaks>
      <colBreaks count="6" manualBreakCount="6">
        <brk id="14" max="1048575" man="1"/>
        <brk id="33" min="42" max="70" man="1"/>
        <brk id="51" min="42" max="70" man="1"/>
        <brk id="69" max="1048575" man="1"/>
        <brk id="88" max="307" man="1"/>
        <brk id="106" max="307" man="1"/>
      </colBreaks>
      <pageMargins left="0.15" right="0.15" top="0.25" bottom="0.25" header="0" footer="0"/>
      <printOptions horizontalCentered="1" verticalCentered="1"/>
      <pageSetup scale="44" fitToHeight="0" pageOrder="overThenDown" orientation="landscape" r:id="rId1"/>
    </customSheetView>
  </customSheetViews>
  <mergeCells count="489">
    <mergeCell ref="AC239:AG240"/>
    <mergeCell ref="AI237:AJ237"/>
    <mergeCell ref="B239:C239"/>
    <mergeCell ref="D238:G238"/>
    <mergeCell ref="L242:N242"/>
    <mergeCell ref="AC242:AF242"/>
    <mergeCell ref="Y242:AB242"/>
    <mergeCell ref="B227:N227"/>
    <mergeCell ref="AT237:AY238"/>
    <mergeCell ref="AI242:AL242"/>
    <mergeCell ref="AM242:AP242"/>
    <mergeCell ref="R237:AA237"/>
    <mergeCell ref="E242:G242"/>
    <mergeCell ref="B228:N228"/>
    <mergeCell ref="J231:N231"/>
    <mergeCell ref="BM96:BQ98"/>
    <mergeCell ref="P159:X166"/>
    <mergeCell ref="Z159:AH166"/>
    <mergeCell ref="AR84:AX85"/>
    <mergeCell ref="Q86:R86"/>
    <mergeCell ref="Z86:AA86"/>
    <mergeCell ref="AI86:AJ86"/>
    <mergeCell ref="AR86:AS86"/>
    <mergeCell ref="P122:X128"/>
    <mergeCell ref="Z122:AH128"/>
    <mergeCell ref="O136:Y136"/>
    <mergeCell ref="O142:Y142"/>
    <mergeCell ref="O148:Y148"/>
    <mergeCell ref="AK99:AO99"/>
    <mergeCell ref="Z105:AA105"/>
    <mergeCell ref="Z100:AF101"/>
    <mergeCell ref="Y108:Y109"/>
    <mergeCell ref="Z106:AA106"/>
    <mergeCell ref="Z107:AF111"/>
    <mergeCell ref="Z104:AF104"/>
    <mergeCell ref="P98:Q98"/>
    <mergeCell ref="P100:P101"/>
    <mergeCell ref="BV87:CE87"/>
    <mergeCell ref="Q88:W88"/>
    <mergeCell ref="Z88:AF88"/>
    <mergeCell ref="AI88:AO88"/>
    <mergeCell ref="CA72:CE75"/>
    <mergeCell ref="S74:W74"/>
    <mergeCell ref="AK74:AO74"/>
    <mergeCell ref="BC74:BG74"/>
    <mergeCell ref="P76:P77"/>
    <mergeCell ref="Q76:W77"/>
    <mergeCell ref="Y76:Y77"/>
    <mergeCell ref="Z76:AF77"/>
    <mergeCell ref="AI76:AO77"/>
    <mergeCell ref="AQ76:AQ77"/>
    <mergeCell ref="AR76:AX77"/>
    <mergeCell ref="AZ76:AZ77"/>
    <mergeCell ref="BA76:BG77"/>
    <mergeCell ref="BJ76:BP77"/>
    <mergeCell ref="BV77:CE77"/>
    <mergeCell ref="BV72:BZ72"/>
    <mergeCell ref="BT72:BU72"/>
    <mergeCell ref="R73:W73"/>
    <mergeCell ref="AK73:AO73"/>
    <mergeCell ref="BD73:BH73"/>
    <mergeCell ref="BV88:CE91"/>
    <mergeCell ref="Q89:W93"/>
    <mergeCell ref="Z89:AF93"/>
    <mergeCell ref="AI89:AO93"/>
    <mergeCell ref="AR89:AX93"/>
    <mergeCell ref="Z78:AF82"/>
    <mergeCell ref="AI78:AO81"/>
    <mergeCell ref="AR78:AX82"/>
    <mergeCell ref="BA78:BB78"/>
    <mergeCell ref="BJ78:BK78"/>
    <mergeCell ref="BV78:BW78"/>
    <mergeCell ref="BJ79:BP79"/>
    <mergeCell ref="BV79:CE79"/>
    <mergeCell ref="Q80:W80"/>
    <mergeCell ref="BA80:BG80"/>
    <mergeCell ref="BJ80:BP93"/>
    <mergeCell ref="BV80:CE85"/>
    <mergeCell ref="Q81:R81"/>
    <mergeCell ref="BA81:BG93"/>
    <mergeCell ref="AI83:AO85"/>
    <mergeCell ref="Q84:W85"/>
    <mergeCell ref="Y84:Y85"/>
    <mergeCell ref="Z84:AF85"/>
    <mergeCell ref="AQ84:AQ85"/>
    <mergeCell ref="C411:F411"/>
    <mergeCell ref="G409:M409"/>
    <mergeCell ref="G411:M411"/>
    <mergeCell ref="BJ48:BP48"/>
    <mergeCell ref="BJ49:BP57"/>
    <mergeCell ref="D421:M421"/>
    <mergeCell ref="C416:F416"/>
    <mergeCell ref="D417:E417"/>
    <mergeCell ref="D415:J415"/>
    <mergeCell ref="C212:E212"/>
    <mergeCell ref="C213:E213"/>
    <mergeCell ref="C214:E214"/>
    <mergeCell ref="C215:E215"/>
    <mergeCell ref="B163:C163"/>
    <mergeCell ref="B166:D166"/>
    <mergeCell ref="I270:N291"/>
    <mergeCell ref="F221:G221"/>
    <mergeCell ref="F219:G219"/>
    <mergeCell ref="C216:E216"/>
    <mergeCell ref="C217:E217"/>
    <mergeCell ref="C218:E218"/>
    <mergeCell ref="C219:E219"/>
    <mergeCell ref="C210:E210"/>
    <mergeCell ref="C211:E211"/>
    <mergeCell ref="C409:F409"/>
    <mergeCell ref="R98:AA98"/>
    <mergeCell ref="R99:V99"/>
    <mergeCell ref="Y100:Y101"/>
    <mergeCell ref="BD42:BK42"/>
    <mergeCell ref="BL42:BP44"/>
    <mergeCell ref="AQ108:AQ109"/>
    <mergeCell ref="AZ100:AZ101"/>
    <mergeCell ref="AR100:AX101"/>
    <mergeCell ref="AQ100:AQ101"/>
    <mergeCell ref="Q100:W101"/>
    <mergeCell ref="AR102:AX116"/>
    <mergeCell ref="BA102:BG116"/>
    <mergeCell ref="Q112:W116"/>
    <mergeCell ref="Q111:W111"/>
    <mergeCell ref="BD43:BH43"/>
    <mergeCell ref="BA59:BG60"/>
    <mergeCell ref="F207:G207"/>
    <mergeCell ref="F215:G215"/>
    <mergeCell ref="F216:G216"/>
    <mergeCell ref="P242:S242"/>
    <mergeCell ref="AK238:AO238"/>
    <mergeCell ref="T242:W242"/>
    <mergeCell ref="AR88:AX88"/>
    <mergeCell ref="BV99:BZ99"/>
    <mergeCell ref="BA100:BG101"/>
    <mergeCell ref="BC99:BG99"/>
    <mergeCell ref="BT98:BU98"/>
    <mergeCell ref="BV98:BZ98"/>
    <mergeCell ref="BA98:BB98"/>
    <mergeCell ref="BV101:CE101"/>
    <mergeCell ref="BV74:BZ74"/>
    <mergeCell ref="C206:E206"/>
    <mergeCell ref="F206:G206"/>
    <mergeCell ref="B162:C162"/>
    <mergeCell ref="AI100:AO101"/>
    <mergeCell ref="AI98:AJ98"/>
    <mergeCell ref="AK98:AT98"/>
    <mergeCell ref="BC98:BL98"/>
    <mergeCell ref="B93:N93"/>
    <mergeCell ref="B143:D143"/>
    <mergeCell ref="B136:D136"/>
    <mergeCell ref="B198:N198"/>
    <mergeCell ref="G76:H76"/>
    <mergeCell ref="C85:D85"/>
    <mergeCell ref="B76:C76"/>
    <mergeCell ref="R157:V157"/>
    <mergeCell ref="AH108:AH109"/>
    <mergeCell ref="BV111:CE111"/>
    <mergeCell ref="AI102:AO116"/>
    <mergeCell ref="C220:E220"/>
    <mergeCell ref="C221:E221"/>
    <mergeCell ref="C235:H235"/>
    <mergeCell ref="B186:D186"/>
    <mergeCell ref="BJ102:BK102"/>
    <mergeCell ref="K239:N240"/>
    <mergeCell ref="C242:D242"/>
    <mergeCell ref="C205:H205"/>
    <mergeCell ref="J201:N202"/>
    <mergeCell ref="G233:H233"/>
    <mergeCell ref="G231:H231"/>
    <mergeCell ref="B131:D131"/>
    <mergeCell ref="B168:D168"/>
    <mergeCell ref="H203:J203"/>
    <mergeCell ref="AU239:AY240"/>
    <mergeCell ref="BM239:BQ240"/>
    <mergeCell ref="BW242:BZ242"/>
    <mergeCell ref="BU237:CC237"/>
    <mergeCell ref="CD237:CI238"/>
    <mergeCell ref="BC237:BK237"/>
    <mergeCell ref="BL237:BQ238"/>
    <mergeCell ref="AK237:AS237"/>
    <mergeCell ref="CF242:CI242"/>
    <mergeCell ref="AQ245:AQ246"/>
    <mergeCell ref="AZ245:AZ246"/>
    <mergeCell ref="BI245:BI246"/>
    <mergeCell ref="BR245:BR246"/>
    <mergeCell ref="CA245:CA246"/>
    <mergeCell ref="CB242:CE242"/>
    <mergeCell ref="BS242:BV242"/>
    <mergeCell ref="BS245:BZ266"/>
    <mergeCell ref="CB245:CI266"/>
    <mergeCell ref="BU238:BY238"/>
    <mergeCell ref="BS237:BT237"/>
    <mergeCell ref="BC238:BG238"/>
    <mergeCell ref="BA237:BB237"/>
    <mergeCell ref="BM267:BQ267"/>
    <mergeCell ref="BE242:BH242"/>
    <mergeCell ref="BN242:BQ242"/>
    <mergeCell ref="AR270:AY291"/>
    <mergeCell ref="BA245:BH266"/>
    <mergeCell ref="BJ242:BM242"/>
    <mergeCell ref="AR242:AU242"/>
    <mergeCell ref="BA242:BD242"/>
    <mergeCell ref="AR245:AY266"/>
    <mergeCell ref="AV242:AY242"/>
    <mergeCell ref="AU267:AY267"/>
    <mergeCell ref="BJ270:BQ291"/>
    <mergeCell ref="BJ245:BQ266"/>
    <mergeCell ref="BA270:BH291"/>
    <mergeCell ref="F218:G218"/>
    <mergeCell ref="B128:D128"/>
    <mergeCell ref="B126:D126"/>
    <mergeCell ref="F213:G213"/>
    <mergeCell ref="B229:N229"/>
    <mergeCell ref="B169:D169"/>
    <mergeCell ref="B174:D174"/>
    <mergeCell ref="F208:G208"/>
    <mergeCell ref="F209:G209"/>
    <mergeCell ref="F220:G220"/>
    <mergeCell ref="F212:G212"/>
    <mergeCell ref="B175:D175"/>
    <mergeCell ref="C209:E209"/>
    <mergeCell ref="B197:N197"/>
    <mergeCell ref="B151:N151"/>
    <mergeCell ref="D194:K194"/>
    <mergeCell ref="F217:G217"/>
    <mergeCell ref="C208:E208"/>
    <mergeCell ref="D156:K156"/>
    <mergeCell ref="B189:N189"/>
    <mergeCell ref="B161:D161"/>
    <mergeCell ref="B187:D187"/>
    <mergeCell ref="B165:D165"/>
    <mergeCell ref="B157:C157"/>
    <mergeCell ref="B160:D160"/>
    <mergeCell ref="B180:D180"/>
    <mergeCell ref="B181:D181"/>
    <mergeCell ref="B105:D105"/>
    <mergeCell ref="B188:N188"/>
    <mergeCell ref="D76:E76"/>
    <mergeCell ref="B150:N150"/>
    <mergeCell ref="C109:D109"/>
    <mergeCell ref="B167:D167"/>
    <mergeCell ref="B104:D104"/>
    <mergeCell ref="B99:C99"/>
    <mergeCell ref="B103:N103"/>
    <mergeCell ref="B129:D129"/>
    <mergeCell ref="B130:D130"/>
    <mergeCell ref="B113:N113"/>
    <mergeCell ref="B115:N115"/>
    <mergeCell ref="B112:N112"/>
    <mergeCell ref="B111:D111"/>
    <mergeCell ref="B106:C106"/>
    <mergeCell ref="D98:K98"/>
    <mergeCell ref="B127:D127"/>
    <mergeCell ref="B164:D164"/>
    <mergeCell ref="B148:D148"/>
    <mergeCell ref="B137:D137"/>
    <mergeCell ref="B125:C125"/>
    <mergeCell ref="B149:D149"/>
    <mergeCell ref="D2:L2"/>
    <mergeCell ref="B7:N7"/>
    <mergeCell ref="D16:M16"/>
    <mergeCell ref="D18:E18"/>
    <mergeCell ref="F18:G18"/>
    <mergeCell ref="A5:F5"/>
    <mergeCell ref="B44:F44"/>
    <mergeCell ref="G44:H44"/>
    <mergeCell ref="B8:N8"/>
    <mergeCell ref="D42:K42"/>
    <mergeCell ref="D21:F21"/>
    <mergeCell ref="D30:N31"/>
    <mergeCell ref="E10:M10"/>
    <mergeCell ref="D25:E25"/>
    <mergeCell ref="B36:K36"/>
    <mergeCell ref="L36:N36"/>
    <mergeCell ref="E28:N28"/>
    <mergeCell ref="G25:M25"/>
    <mergeCell ref="B30:C31"/>
    <mergeCell ref="D33:N34"/>
    <mergeCell ref="B95:C95"/>
    <mergeCell ref="B33:C34"/>
    <mergeCell ref="B32:N32"/>
    <mergeCell ref="J43:N45"/>
    <mergeCell ref="C28:D28"/>
    <mergeCell ref="P42:Q42"/>
    <mergeCell ref="R42:AA42"/>
    <mergeCell ref="AI42:AJ42"/>
    <mergeCell ref="Q78:R78"/>
    <mergeCell ref="B94:C94"/>
    <mergeCell ref="B84:D84"/>
    <mergeCell ref="B89:D89"/>
    <mergeCell ref="B82:D82"/>
    <mergeCell ref="B83:C83"/>
    <mergeCell ref="B91:N91"/>
    <mergeCell ref="B80:N80"/>
    <mergeCell ref="B81:D81"/>
    <mergeCell ref="C86:D86"/>
    <mergeCell ref="C87:D87"/>
    <mergeCell ref="B88:C88"/>
    <mergeCell ref="B51:C51"/>
    <mergeCell ref="B69:N69"/>
    <mergeCell ref="B63:D63"/>
    <mergeCell ref="B68:N68"/>
    <mergeCell ref="B90:N90"/>
    <mergeCell ref="B77:F77"/>
    <mergeCell ref="G77:H77"/>
    <mergeCell ref="B49:D49"/>
    <mergeCell ref="P270:W291"/>
    <mergeCell ref="Y270:AF291"/>
    <mergeCell ref="I245:N266"/>
    <mergeCell ref="K267:N267"/>
    <mergeCell ref="C233:F233"/>
    <mergeCell ref="R238:V238"/>
    <mergeCell ref="P245:W266"/>
    <mergeCell ref="Y245:AF266"/>
    <mergeCell ref="AB237:AG238"/>
    <mergeCell ref="P156:Q156"/>
    <mergeCell ref="R156:AA156"/>
    <mergeCell ref="F214:G214"/>
    <mergeCell ref="C231:F231"/>
    <mergeCell ref="B142:D142"/>
    <mergeCell ref="P237:Q237"/>
    <mergeCell ref="O174:Y174"/>
    <mergeCell ref="O180:Y180"/>
    <mergeCell ref="B191:N191"/>
    <mergeCell ref="O186:Y186"/>
    <mergeCell ref="B153:N153"/>
    <mergeCell ref="B110:D110"/>
    <mergeCell ref="AK42:AT42"/>
    <mergeCell ref="Q56:W56"/>
    <mergeCell ref="AI52:AO53"/>
    <mergeCell ref="Q53:R53"/>
    <mergeCell ref="AI64:AO69"/>
    <mergeCell ref="AR60:AX69"/>
    <mergeCell ref="AI60:AJ60"/>
    <mergeCell ref="AR49:AS49"/>
    <mergeCell ref="AR54:AS54"/>
    <mergeCell ref="AI49:AJ49"/>
    <mergeCell ref="AR52:AX53"/>
    <mergeCell ref="Q52:W52"/>
    <mergeCell ref="AI58:AO59"/>
    <mergeCell ref="AK43:AO43"/>
    <mergeCell ref="AI48:AO48"/>
    <mergeCell ref="Q57:R57"/>
    <mergeCell ref="R43:W43"/>
    <mergeCell ref="Q48:W48"/>
    <mergeCell ref="Q49:T49"/>
    <mergeCell ref="BA48:BG48"/>
    <mergeCell ref="BA49:BB49"/>
    <mergeCell ref="BJ61:BP69"/>
    <mergeCell ref="BA52:BG52"/>
    <mergeCell ref="BA53:BB53"/>
    <mergeCell ref="B74:F75"/>
    <mergeCell ref="G74:H75"/>
    <mergeCell ref="BJ59:BP60"/>
    <mergeCell ref="BA55:BG56"/>
    <mergeCell ref="BA57:BB57"/>
    <mergeCell ref="AI54:AJ54"/>
    <mergeCell ref="B65:C65"/>
    <mergeCell ref="B53:M53"/>
    <mergeCell ref="B58:M58"/>
    <mergeCell ref="AE60:AF60"/>
    <mergeCell ref="Q61:W69"/>
    <mergeCell ref="Z64:AF69"/>
    <mergeCell ref="B66:D66"/>
    <mergeCell ref="B67:N67"/>
    <mergeCell ref="BA61:BG69"/>
    <mergeCell ref="B48:N48"/>
    <mergeCell ref="C399:F399"/>
    <mergeCell ref="C402:G406"/>
    <mergeCell ref="I242:K242"/>
    <mergeCell ref="BB42:BC42"/>
    <mergeCell ref="D72:K72"/>
    <mergeCell ref="Q72:R72"/>
    <mergeCell ref="S72:AB72"/>
    <mergeCell ref="AI72:AJ72"/>
    <mergeCell ref="AK72:AT72"/>
    <mergeCell ref="BA72:BB72"/>
    <mergeCell ref="BC72:BL72"/>
    <mergeCell ref="AI62:AO63"/>
    <mergeCell ref="Z48:AF48"/>
    <mergeCell ref="Q59:W60"/>
    <mergeCell ref="Z49:AA49"/>
    <mergeCell ref="Z52:AF54"/>
    <mergeCell ref="Z55:AA55"/>
    <mergeCell ref="Z58:AF59"/>
    <mergeCell ref="Z62:AF63"/>
    <mergeCell ref="Z60:AA60"/>
    <mergeCell ref="AC60:AD60"/>
    <mergeCell ref="AR58:AX59"/>
    <mergeCell ref="AR48:AX48"/>
    <mergeCell ref="B62:D62"/>
    <mergeCell ref="AI245:AP266"/>
    <mergeCell ref="B107:D107"/>
    <mergeCell ref="C207:E207"/>
    <mergeCell ref="C425:N425"/>
    <mergeCell ref="Q102:W110"/>
    <mergeCell ref="Z102:AA102"/>
    <mergeCell ref="Z103:AF103"/>
    <mergeCell ref="C309:I309"/>
    <mergeCell ref="D312:F312"/>
    <mergeCell ref="C424:N424"/>
    <mergeCell ref="Z112:AF112"/>
    <mergeCell ref="Z113:AF116"/>
    <mergeCell ref="D119:K119"/>
    <mergeCell ref="B122:N122"/>
    <mergeCell ref="B123:D123"/>
    <mergeCell ref="B120:C120"/>
    <mergeCell ref="B116:C116"/>
    <mergeCell ref="D321:F321"/>
    <mergeCell ref="D322:F322"/>
    <mergeCell ref="P119:Q119"/>
    <mergeCell ref="R119:AA119"/>
    <mergeCell ref="R120:V120"/>
    <mergeCell ref="B124:D124"/>
    <mergeCell ref="C397:F397"/>
    <mergeCell ref="B159:N159"/>
    <mergeCell ref="C245:G266"/>
    <mergeCell ref="F210:G210"/>
    <mergeCell ref="F211:G211"/>
    <mergeCell ref="O402:O403"/>
    <mergeCell ref="P402:P403"/>
    <mergeCell ref="CJ245:CJ246"/>
    <mergeCell ref="H245:H246"/>
    <mergeCell ref="O245:O246"/>
    <mergeCell ref="X245:X246"/>
    <mergeCell ref="AG245:AG246"/>
    <mergeCell ref="AQ270:AQ271"/>
    <mergeCell ref="H270:H271"/>
    <mergeCell ref="O270:O271"/>
    <mergeCell ref="X270:X271"/>
    <mergeCell ref="AG270:AG271"/>
    <mergeCell ref="AZ270:AZ271"/>
    <mergeCell ref="BI270:BI271"/>
    <mergeCell ref="BR270:BR271"/>
    <mergeCell ref="CA270:CA271"/>
    <mergeCell ref="CJ270:CJ271"/>
    <mergeCell ref="CB270:CI291"/>
    <mergeCell ref="BS270:BZ291"/>
    <mergeCell ref="AI270:AP291"/>
    <mergeCell ref="P390:P391"/>
    <mergeCell ref="O390:O391"/>
    <mergeCell ref="AC267:AG267"/>
    <mergeCell ref="C391:G395"/>
    <mergeCell ref="C303:F303"/>
    <mergeCell ref="D295:K295"/>
    <mergeCell ref="C305:F305"/>
    <mergeCell ref="C301:F301"/>
    <mergeCell ref="B298:N298"/>
    <mergeCell ref="D313:F313"/>
    <mergeCell ref="D314:F314"/>
    <mergeCell ref="D315:F315"/>
    <mergeCell ref="D316:F316"/>
    <mergeCell ref="D317:F317"/>
    <mergeCell ref="D318:F318"/>
    <mergeCell ref="D325:F325"/>
    <mergeCell ref="D326:F326"/>
    <mergeCell ref="C372:J372"/>
    <mergeCell ref="H373:J374"/>
    <mergeCell ref="D375:F375"/>
    <mergeCell ref="D377:F377"/>
    <mergeCell ref="D379:F379"/>
    <mergeCell ref="C387:F387"/>
    <mergeCell ref="C385:F385"/>
    <mergeCell ref="D381:F381"/>
    <mergeCell ref="D362:F362"/>
    <mergeCell ref="D360:F360"/>
    <mergeCell ref="D364:F364"/>
    <mergeCell ref="D366:F366"/>
    <mergeCell ref="C369:F369"/>
    <mergeCell ref="D344:F344"/>
    <mergeCell ref="D342:F342"/>
    <mergeCell ref="C347:F347"/>
    <mergeCell ref="D323:F323"/>
    <mergeCell ref="C270:G291"/>
    <mergeCell ref="D320:F320"/>
    <mergeCell ref="D324:F324"/>
    <mergeCell ref="D311:F311"/>
    <mergeCell ref="C353:F353"/>
    <mergeCell ref="C356:G356"/>
    <mergeCell ref="D358:F358"/>
    <mergeCell ref="D319:F319"/>
    <mergeCell ref="D330:K330"/>
    <mergeCell ref="B299:N299"/>
    <mergeCell ref="C307:F307"/>
    <mergeCell ref="C335:F335"/>
    <mergeCell ref="C350:F350"/>
    <mergeCell ref="C338:G338"/>
    <mergeCell ref="D340:F340"/>
  </mergeCells>
  <conditionalFormatting sqref="G203">
    <cfRule type="expression" dxfId="845" priority="2259">
      <formula>G201="Yes"</formula>
    </cfRule>
  </conditionalFormatting>
  <conditionalFormatting sqref="B90:C90">
    <cfRule type="expression" dxfId="844" priority="2044" stopIfTrue="1">
      <formula>AND(N89&gt;=0.7,N89&lt;&gt;0,N89&lt;=100%,B91="")</formula>
    </cfRule>
    <cfRule type="expression" dxfId="843" priority="2236" stopIfTrue="1">
      <formula>AND(N88&lt;&gt;"",N89&lt;0.7,B91="")</formula>
    </cfRule>
  </conditionalFormatting>
  <conditionalFormatting sqref="E140:N140 B140">
    <cfRule type="expression" dxfId="842" priority="2210">
      <formula>MOD(ROW(),2)=1</formula>
    </cfRule>
  </conditionalFormatting>
  <conditionalFormatting sqref="E140:N140 B140">
    <cfRule type="expression" dxfId="841" priority="2209">
      <formula>MOD(ROW(),2)=1</formula>
    </cfRule>
  </conditionalFormatting>
  <conditionalFormatting sqref="E146:N146 B146">
    <cfRule type="expression" dxfId="840" priority="2202">
      <formula>MOD(ROW(),2)=1</formula>
    </cfRule>
  </conditionalFormatting>
  <conditionalFormatting sqref="E146:N146 B146">
    <cfRule type="expression" dxfId="839" priority="2201">
      <formula>MOD(ROW(),2)=1</formula>
    </cfRule>
  </conditionalFormatting>
  <conditionalFormatting sqref="E130:N130">
    <cfRule type="expression" dxfId="838" priority="2185">
      <formula>MOD(ROW(),2)=1</formula>
    </cfRule>
  </conditionalFormatting>
  <conditionalFormatting sqref="E130:N130">
    <cfRule type="expression" dxfId="837" priority="2184">
      <formula>MOD(ROW(),2)=1</formula>
    </cfRule>
  </conditionalFormatting>
  <conditionalFormatting sqref="B150:D150">
    <cfRule type="expression" dxfId="836" priority="2277">
      <formula>B150&lt;&gt;""</formula>
    </cfRule>
  </conditionalFormatting>
  <conditionalFormatting sqref="E49:E52 F105:M107 E104:E109 F57:M57 F136:M136 F142:M142 F148:M148 E54:E57 E59:E64 F62:M64 E123:E127 E160:E163 F163:N163 F174:M174 F180:M180 F186:M186 E166:E186 F161:M162 F130:N130 B130 E164:M164 E81:E84 E86 F50:M51 F84:N84 E88:N88 F81:M83 E110:M110 E129:E148">
    <cfRule type="expression" dxfId="835" priority="295">
      <formula>AND($D$4&lt;&gt;YEAR($E$51), $E$51&lt;&gt;0)</formula>
    </cfRule>
  </conditionalFormatting>
  <conditionalFormatting sqref="C233">
    <cfRule type="expression" dxfId="834" priority="2058">
      <formula>G231="No"</formula>
    </cfRule>
  </conditionalFormatting>
  <conditionalFormatting sqref="G233:H233">
    <cfRule type="expression" dxfId="833" priority="2057">
      <formula>G231="No"</formula>
    </cfRule>
  </conditionalFormatting>
  <conditionalFormatting sqref="C242">
    <cfRule type="expression" dxfId="832" priority="2056">
      <formula>G233&gt;=1</formula>
    </cfRule>
  </conditionalFormatting>
  <conditionalFormatting sqref="E242:G242">
    <cfRule type="expression" dxfId="831" priority="2055">
      <formula>G233&gt;=1</formula>
    </cfRule>
  </conditionalFormatting>
  <conditionalFormatting sqref="C235:H235">
    <cfRule type="expression" dxfId="830" priority="2054">
      <formula>G233&gt;=1</formula>
    </cfRule>
  </conditionalFormatting>
  <conditionalFormatting sqref="I242">
    <cfRule type="expression" dxfId="829" priority="2050">
      <formula>G233&gt;=2</formula>
    </cfRule>
  </conditionalFormatting>
  <conditionalFormatting sqref="O242">
    <cfRule type="expression" dxfId="828" priority="2049">
      <formula>$O$242&lt;&gt;""</formula>
    </cfRule>
  </conditionalFormatting>
  <conditionalFormatting sqref="I245">
    <cfRule type="expression" dxfId="827" priority="2048">
      <formula>G233&gt;=2</formula>
    </cfRule>
  </conditionalFormatting>
  <conditionalFormatting sqref="I270">
    <cfRule type="expression" dxfId="826" priority="2047">
      <formula>G233&gt;=2</formula>
    </cfRule>
  </conditionalFormatting>
  <conditionalFormatting sqref="J231:N231">
    <cfRule type="expression" dxfId="825" priority="2046">
      <formula>G231="Yes"</formula>
    </cfRule>
  </conditionalFormatting>
  <conditionalFormatting sqref="N66">
    <cfRule type="expression" dxfId="824" priority="1961">
      <formula>AND($N$66&lt;0.7,$N$65&lt;=100%,$B$68="")</formula>
    </cfRule>
    <cfRule type="expression" dxfId="823" priority="1962">
      <formula>AND($N$66&gt;=0.7,$B$68="")</formula>
    </cfRule>
  </conditionalFormatting>
  <conditionalFormatting sqref="N149">
    <cfRule type="expression" dxfId="822" priority="1844">
      <formula>AND(N149=100%,$B$151="")</formula>
    </cfRule>
    <cfRule type="expression" dxfId="821" priority="2040">
      <formula>AND(N127&lt;&gt;"",N149&lt;100%,N149&lt;&gt;"",$B$151="")</formula>
    </cfRule>
  </conditionalFormatting>
  <conditionalFormatting sqref="N89">
    <cfRule type="expression" dxfId="820" priority="1886">
      <formula>AND($N$89&gt;=0.7,$N$89&lt;=100%,$B$91="")</formula>
    </cfRule>
    <cfRule type="expression" dxfId="819" priority="1916">
      <formula>AND($N$88&lt;&gt;"",$N$89&lt;0.7,$B$91="")</formula>
    </cfRule>
  </conditionalFormatting>
  <conditionalFormatting sqref="B91">
    <cfRule type="expression" dxfId="818" priority="2309">
      <formula>B91&gt;""</formula>
    </cfRule>
  </conditionalFormatting>
  <conditionalFormatting sqref="C132">
    <cfRule type="expression" dxfId="817" priority="2005">
      <formula>MOD(ROW(),2)=1</formula>
    </cfRule>
  </conditionalFormatting>
  <conditionalFormatting sqref="C132">
    <cfRule type="expression" dxfId="816" priority="2004">
      <formula>MOD(ROW(),2)=1</formula>
    </cfRule>
  </conditionalFormatting>
  <conditionalFormatting sqref="D132">
    <cfRule type="expression" dxfId="815" priority="2003">
      <formula>MOD(ROW(),2)=1</formula>
    </cfRule>
  </conditionalFormatting>
  <conditionalFormatting sqref="D132">
    <cfRule type="expression" dxfId="814" priority="2002">
      <formula>MOD(ROW(),2)=1</formula>
    </cfRule>
  </conditionalFormatting>
  <conditionalFormatting sqref="C134:D134">
    <cfRule type="expression" dxfId="813" priority="1999">
      <formula>MOD(ROW(),2)=1</formula>
    </cfRule>
  </conditionalFormatting>
  <conditionalFormatting sqref="C134:D134">
    <cfRule type="expression" dxfId="812" priority="1998">
      <formula>MOD(ROW(),2)=1</formula>
    </cfRule>
  </conditionalFormatting>
  <conditionalFormatting sqref="C138:D138">
    <cfRule type="expression" dxfId="811" priority="1995">
      <formula>MOD(ROW(),2)=1</formula>
    </cfRule>
  </conditionalFormatting>
  <conditionalFormatting sqref="C138:D138">
    <cfRule type="expression" dxfId="810" priority="1994">
      <formula>MOD(ROW(),2)=1</formula>
    </cfRule>
  </conditionalFormatting>
  <conditionalFormatting sqref="C140:D140">
    <cfRule type="expression" dxfId="809" priority="1993">
      <formula>MOD(ROW(),2)=1</formula>
    </cfRule>
  </conditionalFormatting>
  <conditionalFormatting sqref="C140:D140">
    <cfRule type="expression" dxfId="808" priority="1992">
      <formula>MOD(ROW(),2)=1</formula>
    </cfRule>
  </conditionalFormatting>
  <conditionalFormatting sqref="C144:D144">
    <cfRule type="expression" dxfId="807" priority="1987">
      <formula>MOD(ROW(),2)=1</formula>
    </cfRule>
  </conditionalFormatting>
  <conditionalFormatting sqref="C144:D144">
    <cfRule type="expression" dxfId="806" priority="1986">
      <formula>MOD(ROW(),2)=1</formula>
    </cfRule>
  </conditionalFormatting>
  <conditionalFormatting sqref="C146:D146">
    <cfRule type="expression" dxfId="805" priority="1985">
      <formula>MOD(ROW(),2)=1</formula>
    </cfRule>
  </conditionalFormatting>
  <conditionalFormatting sqref="C146:D146">
    <cfRule type="expression" dxfId="804" priority="1984">
      <formula>MOD(ROW(),2)=1</formula>
    </cfRule>
  </conditionalFormatting>
  <conditionalFormatting sqref="G64 G66">
    <cfRule type="expression" dxfId="803" priority="2045" stopIfTrue="1">
      <formula>AND($G$65&gt;100%,$G$64&lt;&gt;"")</formula>
    </cfRule>
  </conditionalFormatting>
  <conditionalFormatting sqref="B68:N68">
    <cfRule type="expression" dxfId="802" priority="1972">
      <formula>B68&gt;""</formula>
    </cfRule>
  </conditionalFormatting>
  <conditionalFormatting sqref="F49 F143:F147 G126:H126 F104 F108:F109 F59:F61 F137:F141 F86 F54:F56 F123:F127 F160 F181:F185 F166:F173 F175:F179 F52 F129:F135">
    <cfRule type="expression" dxfId="801" priority="1971">
      <formula>AND($D$4&lt;&gt;YEAR($F$51), $F$51&lt;&gt;0)</formula>
    </cfRule>
  </conditionalFormatting>
  <conditionalFormatting sqref="F52 F64 F66">
    <cfRule type="expression" dxfId="800" priority="1970" stopIfTrue="1">
      <formula>AND($F$65&gt;100%,$F$64&lt;&gt;"")</formula>
    </cfRule>
  </conditionalFormatting>
  <conditionalFormatting sqref="G49 G123:G125 G143:G147 G127 G104 G108:G109 G59:G61 G137:G141 G54:G56 G160 G181:G185 G166:G173 G175:G179 G86:G87 G52 G129:G135">
    <cfRule type="expression" dxfId="799" priority="1967">
      <formula>AND($D$4&lt;&gt;YEAR($G$51), $G$51&lt;&gt;0)</formula>
    </cfRule>
  </conditionalFormatting>
  <conditionalFormatting sqref="H49 H123:H125 H143:H147 H127 H104 H108:H109 H59:H61 H137:H141 H54:H56 H160 H181:H185 H166:H173 H175:H179 H86:H87 H52 H129:H135">
    <cfRule type="expression" dxfId="798" priority="342">
      <formula>AND($D$4&lt;&gt;YEAR($H$51), $H$51&lt;&gt;0)</formula>
    </cfRule>
  </conditionalFormatting>
  <conditionalFormatting sqref="H52 H64 H66">
    <cfRule type="expression" dxfId="797" priority="1959">
      <formula>AND($H$65&gt;100%,$H$64&lt;&gt;"")</formula>
    </cfRule>
  </conditionalFormatting>
  <conditionalFormatting sqref="I49 I143:I147 I104 I108:I109 I59:I61 I137:I141 I54:I56 I123:I127 I160 I181:I185 I166:I173 I175:I179 I86:I87 I52 I129:I135">
    <cfRule type="expression" dxfId="796" priority="1956">
      <formula>AND($D$4&lt;&gt;YEAR($I$51), $I$51&lt;&gt;0)</formula>
    </cfRule>
  </conditionalFormatting>
  <conditionalFormatting sqref="J49 J143:J147 J104 J108:J109 J59:J61 J137:J141 J54:J56 J123:J127 J160 J181:J185 J166:J173 J175:J179 J86:J87 J52 J129:J135">
    <cfRule type="expression" dxfId="795" priority="340">
      <formula>AND($D$4&lt;&gt;YEAR($J$51), $J$51&lt;&gt;0)</formula>
    </cfRule>
  </conditionalFormatting>
  <conditionalFormatting sqref="K49 K143:K147 K104 K108:K109 K59:K61 K137:K141 K54:K56 K123:K127 K160 K181:K185 K166:K173 K175:K179 K86:K87 K52 K129:K135">
    <cfRule type="expression" dxfId="794" priority="1954">
      <formula>AND($D$4&lt;&gt;YEAR($K$51), $K$51&lt;&gt;0)</formula>
    </cfRule>
  </conditionalFormatting>
  <conditionalFormatting sqref="L49 L143:L147 L104 L108:L109 L59:L61 L137:L141 L54:L56 L123:L127 L160 L181:L185 L166:L173 L175:L179 L86:L87 L52 L129:L135">
    <cfRule type="expression" dxfId="793" priority="1953">
      <formula>AND($D$4&lt;&gt;YEAR($L$51), $L$51&lt;&gt;0)</formula>
    </cfRule>
  </conditionalFormatting>
  <conditionalFormatting sqref="M49 M143:M147 M104 M108:M109 M59:M61 M137:M141 M54:M56 M123:M127 M160 M181:M185 M166:M173 M175:M179 M86:M87 M52 M129:M135">
    <cfRule type="expression" dxfId="792" priority="337">
      <formula>AND($D$4&lt;&gt;YEAR($M$51), $M$51&lt;&gt;0)</formula>
    </cfRule>
  </conditionalFormatting>
  <conditionalFormatting sqref="I52 I64 I66">
    <cfRule type="expression" dxfId="791" priority="1951">
      <formula>AND($I$65&gt;100%,$I$64&lt;&gt;"")</formula>
    </cfRule>
  </conditionalFormatting>
  <conditionalFormatting sqref="K52 K64 K66">
    <cfRule type="expression" dxfId="790" priority="1949">
      <formula>AND($K$65&gt;100%,$K$64&lt;&gt;"")</formula>
    </cfRule>
  </conditionalFormatting>
  <conditionalFormatting sqref="L52 L64 L66">
    <cfRule type="expression" dxfId="789" priority="1948">
      <formula>AND($L$65&gt;100%,$L$64&lt;&gt;"")</formula>
    </cfRule>
  </conditionalFormatting>
  <conditionalFormatting sqref="M52 M64 M66">
    <cfRule type="expression" dxfId="788" priority="1947">
      <formula>AND($M$65&gt;100%,$M$64&lt;&gt;"")</formula>
    </cfRule>
  </conditionalFormatting>
  <conditionalFormatting sqref="J52 J64 J66">
    <cfRule type="expression" dxfId="787" priority="1944">
      <formula>AND($J$65&gt;100%,$J$64&lt;&gt;"")</formula>
    </cfRule>
  </conditionalFormatting>
  <conditionalFormatting sqref="F66">
    <cfRule type="expression" dxfId="786" priority="1968">
      <formula>AND($F$66&gt;=0.7,$F$66&lt;&gt;"",$B$68="")</formula>
    </cfRule>
    <cfRule type="expression" dxfId="785" priority="1969">
      <formula>AND($F$66&lt;0.7,$F$65&lt;=100%,$F$65&gt;0,$B$68="")</formula>
    </cfRule>
  </conditionalFormatting>
  <conditionalFormatting sqref="E66">
    <cfRule type="expression" dxfId="784" priority="1914">
      <formula>AND($E$66&lt;0.7,$E$65&lt;=100%,$E$65&gt;0,$B$68="")</formula>
    </cfRule>
    <cfRule type="expression" dxfId="783" priority="1915">
      <formula>AND($E$66&gt;=0.7,$E$66&lt;&gt;"",$B$68="")</formula>
    </cfRule>
  </conditionalFormatting>
  <conditionalFormatting sqref="Q49">
    <cfRule type="expression" dxfId="782" priority="1866">
      <formula>P48&lt;&gt;""</formula>
    </cfRule>
  </conditionalFormatting>
  <conditionalFormatting sqref="Q53">
    <cfRule type="expression" dxfId="781" priority="1863">
      <formula>P48&lt;&gt;""</formula>
    </cfRule>
  </conditionalFormatting>
  <conditionalFormatting sqref="B151:N151">
    <cfRule type="expression" dxfId="780" priority="1843">
      <formula>B151&lt;&gt;""</formula>
    </cfRule>
  </conditionalFormatting>
  <conditionalFormatting sqref="E127">
    <cfRule type="expression" dxfId="779" priority="1832">
      <formula>$E$126&lt;$E$127</formula>
    </cfRule>
  </conditionalFormatting>
  <conditionalFormatting sqref="F127">
    <cfRule type="expression" dxfId="778" priority="1830">
      <formula>$F$126&lt;$F$127</formula>
    </cfRule>
  </conditionalFormatting>
  <conditionalFormatting sqref="G127">
    <cfRule type="expression" dxfId="777" priority="1829">
      <formula>$G$126&lt;$G$127</formula>
    </cfRule>
  </conditionalFormatting>
  <conditionalFormatting sqref="H127">
    <cfRule type="expression" dxfId="776" priority="1828">
      <formula>$H$126&lt;$H$127</formula>
    </cfRule>
  </conditionalFormatting>
  <conditionalFormatting sqref="I127">
    <cfRule type="expression" dxfId="775" priority="1827">
      <formula>$I$126&lt;$I$127</formula>
    </cfRule>
  </conditionalFormatting>
  <conditionalFormatting sqref="J127">
    <cfRule type="expression" dxfId="774" priority="1826">
      <formula>$J$126&lt;$J$127</formula>
    </cfRule>
  </conditionalFormatting>
  <conditionalFormatting sqref="K127">
    <cfRule type="expression" dxfId="773" priority="1825">
      <formula>$K$126&lt;$K$127</formula>
    </cfRule>
  </conditionalFormatting>
  <conditionalFormatting sqref="L127">
    <cfRule type="expression" dxfId="772" priority="1824">
      <formula>$L$126&lt;$L$127</formula>
    </cfRule>
  </conditionalFormatting>
  <conditionalFormatting sqref="M127">
    <cfRule type="expression" dxfId="771" priority="1823">
      <formula>$M$126&lt;$M$127</formula>
    </cfRule>
  </conditionalFormatting>
  <conditionalFormatting sqref="G129 O136">
    <cfRule type="expression" dxfId="770" priority="1579">
      <formula>AND($G$136&lt;&gt;$G$129,$G$136&lt;&gt;"")</formula>
    </cfRule>
    <cfRule type="expression" dxfId="769" priority="1812">
      <formula>AND($G$136&gt;$G$129,$G$136="")</formula>
    </cfRule>
  </conditionalFormatting>
  <conditionalFormatting sqref="H129 O136">
    <cfRule type="expression" dxfId="768" priority="1578">
      <formula>AND($H$136&lt;&gt;$H$129,$H$136&lt;&gt;"")</formula>
    </cfRule>
    <cfRule type="expression" dxfId="767" priority="1811">
      <formula>AND($H$136&gt;$H$129,$H$136="")</formula>
    </cfRule>
  </conditionalFormatting>
  <conditionalFormatting sqref="I129 O136">
    <cfRule type="expression" dxfId="766" priority="1577">
      <formula>AND($I$136&lt;&gt;$I$129,$I$136&lt;&gt;"")</formula>
    </cfRule>
    <cfRule type="expression" dxfId="765" priority="1809">
      <formula>AND($I$136&gt;$I$129,$I$136="")</formula>
    </cfRule>
  </conditionalFormatting>
  <conditionalFormatting sqref="K129 O136">
    <cfRule type="expression" dxfId="764" priority="1575">
      <formula>AND($K$136&lt;&gt;$K$129,$K$136&lt;&gt;"")</formula>
    </cfRule>
    <cfRule type="expression" dxfId="763" priority="1807">
      <formula>AND($K$136&gt;$K$129,$K$136="")</formula>
    </cfRule>
  </conditionalFormatting>
  <conditionalFormatting sqref="L129 O136">
    <cfRule type="expression" dxfId="762" priority="1574">
      <formula>AND($L$136&lt;&gt;$L$129,$L$136&lt;&gt;"")</formula>
    </cfRule>
    <cfRule type="expression" dxfId="761" priority="1588">
      <formula>AND($L$136&gt;$L$129,$L$136="")</formula>
    </cfRule>
  </conditionalFormatting>
  <conditionalFormatting sqref="M129 O136">
    <cfRule type="expression" dxfId="760" priority="1573">
      <formula>AND($M$136&lt;&gt;$M$129,$M$136&lt;&gt;"")</formula>
    </cfRule>
    <cfRule type="expression" dxfId="759" priority="1582">
      <formula>AND($M$136&gt;$M$129,$M$136="")</formula>
    </cfRule>
  </conditionalFormatting>
  <conditionalFormatting sqref="F148 F129 O148">
    <cfRule type="expression" dxfId="758" priority="1273">
      <formula>AND($F$148&lt;$F$129,$F$148&lt;&gt;"")</formula>
    </cfRule>
    <cfRule type="expression" dxfId="757" priority="1557">
      <formula>AND($F$148&gt;$F$129,$F$148&lt;&gt;"")</formula>
    </cfRule>
    <cfRule type="expression" dxfId="756" priority="1796">
      <formula>AND($F$148&lt;&gt;$F$129,$F$129&lt;&gt;"",$F$148="")</formula>
    </cfRule>
  </conditionalFormatting>
  <conditionalFormatting sqref="G148 G129 O148">
    <cfRule type="expression" dxfId="755" priority="1272">
      <formula>AND($G$148&lt;$G$129,$G$148&lt;&gt;"")</formula>
    </cfRule>
    <cfRule type="expression" dxfId="754" priority="1556">
      <formula>AND($G$148&gt;$G$129,$G$148&lt;&gt;"")</formula>
    </cfRule>
    <cfRule type="expression" dxfId="753" priority="1795">
      <formula>AND($G$148&lt;&gt;$G$129,$G$129&lt;&gt;"",$G$148="")</formula>
    </cfRule>
  </conditionalFormatting>
  <conditionalFormatting sqref="H148 H129 O148">
    <cfRule type="expression" dxfId="752" priority="1271">
      <formula>AND($H$148&lt;$H$129,$H$148&lt;&gt;"")</formula>
    </cfRule>
    <cfRule type="expression" dxfId="751" priority="1555">
      <formula>AND($H$148&gt;$H$129,$H$148&lt;&gt;"")</formula>
    </cfRule>
    <cfRule type="expression" dxfId="750" priority="1794">
      <formula>AND($H$148&lt;&gt;$H$129,$H$129&lt;&gt;"",$H$148="")</formula>
    </cfRule>
  </conditionalFormatting>
  <conditionalFormatting sqref="I148 I129 O148">
    <cfRule type="expression" dxfId="749" priority="1270">
      <formula>AND($I$148&lt;$I$129,$I$148&lt;&gt;"")</formula>
    </cfRule>
    <cfRule type="expression" dxfId="748" priority="1554">
      <formula>AND($I$148&gt;$I$129,$I$148&lt;&gt;"")</formula>
    </cfRule>
    <cfRule type="expression" dxfId="747" priority="1793">
      <formula>AND($I$148&lt;&gt;$I$129,$I$129&lt;&gt;"",$I$148="")</formula>
    </cfRule>
  </conditionalFormatting>
  <conditionalFormatting sqref="J148 J129 O148">
    <cfRule type="expression" dxfId="746" priority="1269">
      <formula>AND($J$148&lt;$J$129,$J$148&lt;&gt;"")</formula>
    </cfRule>
    <cfRule type="expression" dxfId="745" priority="1553">
      <formula>AND($J$148&gt;$J$129,$J$148&lt;&gt;"")</formula>
    </cfRule>
    <cfRule type="expression" dxfId="744" priority="1792">
      <formula>AND($J$148&lt;&gt;$J$129,$J$129&lt;&gt;"",$J$148="")</formula>
    </cfRule>
  </conditionalFormatting>
  <conditionalFormatting sqref="K148 K129 O148">
    <cfRule type="expression" dxfId="743" priority="1268">
      <formula>AND($K$148&lt;$K$129,$K$148&lt;&gt;"")</formula>
    </cfRule>
    <cfRule type="expression" dxfId="742" priority="1552">
      <formula>AND($K$148&gt;$K$129,$K$148&lt;&gt;"")</formula>
    </cfRule>
    <cfRule type="expression" dxfId="741" priority="1791">
      <formula>AND($K$148&lt;&gt;$K$129,$K$129&lt;&gt;"",$K$148="")</formula>
    </cfRule>
  </conditionalFormatting>
  <conditionalFormatting sqref="L148 L129 O148">
    <cfRule type="expression" dxfId="740" priority="1267">
      <formula>AND($L$148&lt;$L$129,$L$148&lt;&gt;"")</formula>
    </cfRule>
    <cfRule type="expression" dxfId="739" priority="1551">
      <formula>AND($L$148&gt;$L$129,$L$148&lt;&gt;"")</formula>
    </cfRule>
    <cfRule type="expression" dxfId="738" priority="1790">
      <formula>AND($L$148&lt;&gt;$L$129,$L$129&lt;&gt;"",$L$148="")</formula>
    </cfRule>
  </conditionalFormatting>
  <conditionalFormatting sqref="M148 M129 O148">
    <cfRule type="expression" dxfId="737" priority="1266">
      <formula>AND($M$148&lt;$M$129,$M$148&lt;&gt;"")</formula>
    </cfRule>
    <cfRule type="expression" dxfId="736" priority="1550">
      <formula>AND($M$148&gt;$M$129,$M$148&lt;&gt;"")</formula>
    </cfRule>
    <cfRule type="expression" dxfId="735" priority="1789">
      <formula>AND($M$148&lt;&gt;$M$129,$M$129&lt;&gt;"",$M$148="")</formula>
    </cfRule>
  </conditionalFormatting>
  <conditionalFormatting sqref="Q57">
    <cfRule type="expression" dxfId="734" priority="1788">
      <formula>P48&lt;&gt;""</formula>
    </cfRule>
  </conditionalFormatting>
  <conditionalFormatting sqref="Q61:W69">
    <cfRule type="expression" dxfId="733" priority="1787">
      <formula>P48&lt;&gt;""</formula>
    </cfRule>
  </conditionalFormatting>
  <conditionalFormatting sqref="Z49">
    <cfRule type="expression" dxfId="732" priority="1786">
      <formula>P48&lt;&gt;""</formula>
    </cfRule>
  </conditionalFormatting>
  <conditionalFormatting sqref="Z55">
    <cfRule type="expression" dxfId="731" priority="1785">
      <formula>P48&lt;&gt;""</formula>
    </cfRule>
  </conditionalFormatting>
  <conditionalFormatting sqref="Z60">
    <cfRule type="expression" dxfId="730" priority="1784">
      <formula>P48&lt;&gt;""</formula>
    </cfRule>
  </conditionalFormatting>
  <conditionalFormatting sqref="AE60">
    <cfRule type="expression" dxfId="729" priority="1782">
      <formula>($Z$60="No")</formula>
    </cfRule>
  </conditionalFormatting>
  <conditionalFormatting sqref="Z64:AF69">
    <cfRule type="expression" dxfId="728" priority="1781">
      <formula>P48&lt;&gt;""</formula>
    </cfRule>
  </conditionalFormatting>
  <conditionalFormatting sqref="AI49">
    <cfRule type="expression" dxfId="727" priority="1780">
      <formula>P48&lt;&gt;""</formula>
    </cfRule>
  </conditionalFormatting>
  <conditionalFormatting sqref="AI54">
    <cfRule type="expression" dxfId="726" priority="1779">
      <formula>AI49="Yes"</formula>
    </cfRule>
  </conditionalFormatting>
  <conditionalFormatting sqref="AI60 AI64:AO69">
    <cfRule type="expression" dxfId="725" priority="1778">
      <formula>$AI$49="Yes"</formula>
    </cfRule>
  </conditionalFormatting>
  <conditionalFormatting sqref="AI52:AO53">
    <cfRule type="expression" dxfId="724" priority="1776">
      <formula>$AI$49="No"</formula>
    </cfRule>
  </conditionalFormatting>
  <conditionalFormatting sqref="AI58:AO59">
    <cfRule type="expression" dxfId="723" priority="1775">
      <formula>$AI$49="No"</formula>
    </cfRule>
  </conditionalFormatting>
  <conditionalFormatting sqref="AI62:AO63">
    <cfRule type="expression" dxfId="722" priority="1774">
      <formula>$AI$49="No"</formula>
    </cfRule>
  </conditionalFormatting>
  <conditionalFormatting sqref="AR49">
    <cfRule type="expression" dxfId="721" priority="1773">
      <formula>AQ48&lt;&gt;""</formula>
    </cfRule>
  </conditionalFormatting>
  <conditionalFormatting sqref="AR54">
    <cfRule type="expression" dxfId="720" priority="1772">
      <formula>AQ48&lt;&gt;""</formula>
    </cfRule>
  </conditionalFormatting>
  <conditionalFormatting sqref="AR58:AX59">
    <cfRule type="expression" dxfId="719" priority="1771">
      <formula>AND($AR$49="No",$AR$54="No")</formula>
    </cfRule>
  </conditionalFormatting>
  <conditionalFormatting sqref="AR60:AX69">
    <cfRule type="expression" dxfId="718" priority="1766">
      <formula>AND($AR$58&lt;&gt;"",$AR$58&lt;&gt;"          Proceed to the next question to the right ==&gt;")</formula>
    </cfRule>
  </conditionalFormatting>
  <conditionalFormatting sqref="BA49">
    <cfRule type="expression" dxfId="717" priority="1765">
      <formula>AZ48&lt;&gt;""</formula>
    </cfRule>
  </conditionalFormatting>
  <conditionalFormatting sqref="BA53">
    <cfRule type="expression" dxfId="716" priority="1764">
      <formula>AZ52&lt;&gt;""</formula>
    </cfRule>
  </conditionalFormatting>
  <conditionalFormatting sqref="BA57">
    <cfRule type="expression" dxfId="715" priority="1763">
      <formula>BA53="Yes"</formula>
    </cfRule>
  </conditionalFormatting>
  <conditionalFormatting sqref="BA61:BG69">
    <cfRule type="expression" dxfId="714" priority="1762">
      <formula>AND($BA$59&lt;&gt;"",$BA$59&lt;&gt;"          Complete additional questions to the right ==&gt;")</formula>
    </cfRule>
  </conditionalFormatting>
  <conditionalFormatting sqref="BA59:BG60">
    <cfRule type="expression" dxfId="713" priority="1761">
      <formula>AND($BA$49="No",$BA$53="No")</formula>
    </cfRule>
  </conditionalFormatting>
  <conditionalFormatting sqref="BJ49:BP57">
    <cfRule type="expression" dxfId="712" priority="1760">
      <formula>$BI$48&lt;&gt;""</formula>
    </cfRule>
  </conditionalFormatting>
  <conditionalFormatting sqref="BJ61:BP69">
    <cfRule type="expression" dxfId="711" priority="1759">
      <formula>$BI$59&lt;&gt;""</formula>
    </cfRule>
  </conditionalFormatting>
  <conditionalFormatting sqref="AG110:AG111">
    <cfRule type="expression" dxfId="710" priority="1748">
      <formula>AND(U111&lt;0.7,U111&lt;&gt;0,I113="")</formula>
    </cfRule>
  </conditionalFormatting>
  <conditionalFormatting sqref="AP112">
    <cfRule type="expression" dxfId="709" priority="1744">
      <formula>AP110="Yes"</formula>
    </cfRule>
  </conditionalFormatting>
  <conditionalFormatting sqref="B112:D112">
    <cfRule type="expression" dxfId="708" priority="1721" stopIfTrue="1">
      <formula>AND(N111&gt;=0.7,B112&lt;&gt;"")</formula>
    </cfRule>
    <cfRule type="expression" dxfId="707" priority="1724" stopIfTrue="1">
      <formula>AND(N111&lt;0.7,B112&lt;&gt;"")</formula>
    </cfRule>
  </conditionalFormatting>
  <conditionalFormatting sqref="N111">
    <cfRule type="expression" dxfId="706" priority="1691">
      <formula>AND($N$111&gt;=0.7,$N$111&lt;=100%,$B$113="")</formula>
    </cfRule>
    <cfRule type="expression" dxfId="705" priority="1702">
      <formula>AND($N$108&lt;&gt;"",$N$109&lt;&gt;"",$N$111&lt;0.7,$N$111&lt;&gt;"",$B$113="")</formula>
    </cfRule>
  </conditionalFormatting>
  <conditionalFormatting sqref="B113">
    <cfRule type="expression" dxfId="704" priority="1726">
      <formula>B113&gt;""</formula>
    </cfRule>
  </conditionalFormatting>
  <conditionalFormatting sqref="E107 E110:E111">
    <cfRule type="expression" dxfId="703" priority="1722" stopIfTrue="1">
      <formula>AND($E$111&gt;100%,$E$110&lt;&gt;"")</formula>
    </cfRule>
  </conditionalFormatting>
  <conditionalFormatting sqref="F107 F110:F111">
    <cfRule type="expression" dxfId="702" priority="1701">
      <formula>AND($F$111&gt;100%,$F$110&lt;&gt;"")</formula>
    </cfRule>
  </conditionalFormatting>
  <conditionalFormatting sqref="H107 H110 H111">
    <cfRule type="expression" dxfId="701" priority="1682">
      <formula>AND($H$111&gt;100%,$H$110&lt;&gt;"")</formula>
    </cfRule>
  </conditionalFormatting>
  <conditionalFormatting sqref="J107 J110 J111">
    <cfRule type="expression" dxfId="700" priority="1680">
      <formula>AND($J$111&gt;100%,$J$110&lt;&gt;"")</formula>
    </cfRule>
  </conditionalFormatting>
  <conditionalFormatting sqref="K107 K110 K111">
    <cfRule type="expression" dxfId="699" priority="1679">
      <formula>AND($K$111&gt;100%,$K$110&lt;&gt;"")</formula>
    </cfRule>
  </conditionalFormatting>
  <conditionalFormatting sqref="L107 L110 L111">
    <cfRule type="expression" dxfId="698" priority="1678">
      <formula>AND($L$111&gt;100%,$L$110&lt;&gt;"")</formula>
    </cfRule>
  </conditionalFormatting>
  <conditionalFormatting sqref="Z102">
    <cfRule type="expression" dxfId="697" priority="1670">
      <formula>$P$100&lt;&gt;""</formula>
    </cfRule>
  </conditionalFormatting>
  <conditionalFormatting sqref="Z112">
    <cfRule type="expression" dxfId="696" priority="1668">
      <formula>AND(N113&lt;0.7,N113&lt;&gt;0,B115="")</formula>
    </cfRule>
  </conditionalFormatting>
  <conditionalFormatting sqref="Z113">
    <cfRule type="expression" dxfId="695" priority="1727">
      <formula>Z102="Yes"</formula>
    </cfRule>
  </conditionalFormatting>
  <conditionalFormatting sqref="P242">
    <cfRule type="expression" dxfId="694" priority="1648">
      <formula>G233&gt;=3</formula>
    </cfRule>
  </conditionalFormatting>
  <conditionalFormatting sqref="P245">
    <cfRule type="expression" dxfId="693" priority="1646">
      <formula>G233&gt;=3</formula>
    </cfRule>
  </conditionalFormatting>
  <conditionalFormatting sqref="P270">
    <cfRule type="expression" dxfId="692" priority="1645">
      <formula>G233&gt;=3</formula>
    </cfRule>
  </conditionalFormatting>
  <conditionalFormatting sqref="Y242">
    <cfRule type="expression" dxfId="691" priority="1644">
      <formula>G233&gt;=4</formula>
    </cfRule>
  </conditionalFormatting>
  <conditionalFormatting sqref="Y245">
    <cfRule type="expression" dxfId="690" priority="1642">
      <formula>G233&gt;=4</formula>
    </cfRule>
  </conditionalFormatting>
  <conditionalFormatting sqref="Y270">
    <cfRule type="expression" dxfId="689" priority="1641">
      <formula>G233&gt;=4</formula>
    </cfRule>
  </conditionalFormatting>
  <conditionalFormatting sqref="AI242">
    <cfRule type="expression" dxfId="688" priority="1640">
      <formula>G233&gt;=5</formula>
    </cfRule>
  </conditionalFormatting>
  <conditionalFormatting sqref="AI245">
    <cfRule type="expression" dxfId="687" priority="1638">
      <formula>G233&gt;=5</formula>
    </cfRule>
  </conditionalFormatting>
  <conditionalFormatting sqref="AI270">
    <cfRule type="expression" dxfId="686" priority="1637">
      <formula>G233&gt;=5</formula>
    </cfRule>
  </conditionalFormatting>
  <conditionalFormatting sqref="AR242">
    <cfRule type="expression" dxfId="685" priority="1636">
      <formula>G233&gt;=6</formula>
    </cfRule>
  </conditionalFormatting>
  <conditionalFormatting sqref="AR245">
    <cfRule type="expression" dxfId="684" priority="1634">
      <formula>G233&gt;=6</formula>
    </cfRule>
  </conditionalFormatting>
  <conditionalFormatting sqref="AR270">
    <cfRule type="expression" dxfId="683" priority="1633">
      <formula>G233&gt;=6</formula>
    </cfRule>
  </conditionalFormatting>
  <conditionalFormatting sqref="BA242">
    <cfRule type="expression" dxfId="682" priority="1632">
      <formula>G233&gt;=7</formula>
    </cfRule>
  </conditionalFormatting>
  <conditionalFormatting sqref="BA245">
    <cfRule type="expression" dxfId="681" priority="1630">
      <formula>G233&gt;=7</formula>
    </cfRule>
  </conditionalFormatting>
  <conditionalFormatting sqref="BA270">
    <cfRule type="expression" dxfId="680" priority="1629">
      <formula>G233&gt;=7</formula>
    </cfRule>
  </conditionalFormatting>
  <conditionalFormatting sqref="BJ242">
    <cfRule type="expression" dxfId="679" priority="1628">
      <formula>G233&gt;=8</formula>
    </cfRule>
  </conditionalFormatting>
  <conditionalFormatting sqref="BJ245">
    <cfRule type="expression" dxfId="678" priority="1626">
      <formula>G233&gt;=8</formula>
    </cfRule>
  </conditionalFormatting>
  <conditionalFormatting sqref="BJ270">
    <cfRule type="expression" dxfId="677" priority="1625">
      <formula>G233&gt;=8</formula>
    </cfRule>
  </conditionalFormatting>
  <conditionalFormatting sqref="BS242">
    <cfRule type="expression" dxfId="676" priority="1624">
      <formula>G233&gt;=9</formula>
    </cfRule>
  </conditionalFormatting>
  <conditionalFormatting sqref="BS245">
    <cfRule type="expression" dxfId="675" priority="1622">
      <formula>G233&gt;=9</formula>
    </cfRule>
  </conditionalFormatting>
  <conditionalFormatting sqref="BS270">
    <cfRule type="expression" dxfId="674" priority="1621">
      <formula>G233&gt;=9</formula>
    </cfRule>
  </conditionalFormatting>
  <conditionalFormatting sqref="CB242">
    <cfRule type="expression" dxfId="673" priority="1620">
      <formula>G233&gt;=10</formula>
    </cfRule>
  </conditionalFormatting>
  <conditionalFormatting sqref="CB245">
    <cfRule type="expression" dxfId="672" priority="1618">
      <formula>G233&gt;=10</formula>
    </cfRule>
  </conditionalFormatting>
  <conditionalFormatting sqref="CB270">
    <cfRule type="expression" dxfId="671" priority="1617">
      <formula>G233&gt;=10</formula>
    </cfRule>
  </conditionalFormatting>
  <conditionalFormatting sqref="CM267:CP267">
    <cfRule type="expression" dxfId="670" priority="1615">
      <formula>H233&gt;9</formula>
    </cfRule>
  </conditionalFormatting>
  <conditionalFormatting sqref="BM239">
    <cfRule type="expression" dxfId="669" priority="1613">
      <formula>G233&gt;8</formula>
    </cfRule>
  </conditionalFormatting>
  <conditionalFormatting sqref="AU267">
    <cfRule type="expression" dxfId="668" priority="1606">
      <formula>G233&gt;6</formula>
    </cfRule>
  </conditionalFormatting>
  <conditionalFormatting sqref="AC239:AG239">
    <cfRule type="expression" dxfId="667" priority="1605">
      <formula>G233&gt;4</formula>
    </cfRule>
  </conditionalFormatting>
  <conditionalFormatting sqref="AC267:AG267">
    <cfRule type="expression" dxfId="666" priority="1604">
      <formula>G233&gt;4</formula>
    </cfRule>
  </conditionalFormatting>
  <conditionalFormatting sqref="K239 O239">
    <cfRule type="expression" dxfId="665" priority="1601">
      <formula>G233&gt;2</formula>
    </cfRule>
  </conditionalFormatting>
  <conditionalFormatting sqref="K267 O267">
    <cfRule type="expression" dxfId="664" priority="1600">
      <formula>G233&gt;2</formula>
    </cfRule>
  </conditionalFormatting>
  <conditionalFormatting sqref="G25">
    <cfRule type="expression" dxfId="663" priority="1590">
      <formula>D25="No"</formula>
    </cfRule>
  </conditionalFormatting>
  <conditionalFormatting sqref="F129 O136">
    <cfRule type="expression" dxfId="662" priority="1580">
      <formula>AND($F$136&lt;&gt;$F$129,$F$136&lt;&gt;"")</formula>
    </cfRule>
    <cfRule type="expression" dxfId="661" priority="1813">
      <formula>AND($F$136&gt;$F$129,$F$136="")</formula>
    </cfRule>
  </conditionalFormatting>
  <conditionalFormatting sqref="J129 O136">
    <cfRule type="expression" dxfId="660" priority="1576">
      <formula>AND($J$136&lt;&gt;$J$129,$J$136&lt;&gt;"")</formula>
    </cfRule>
    <cfRule type="expression" dxfId="659" priority="1808">
      <formula>AND($J$136&gt;$J$129,$J$136="")</formula>
    </cfRule>
  </conditionalFormatting>
  <conditionalFormatting sqref="C253:D266">
    <cfRule type="expression" dxfId="658" priority="2318">
      <formula>G242&gt;=1</formula>
    </cfRule>
  </conditionalFormatting>
  <conditionalFormatting sqref="C292:D292">
    <cfRule type="expression" dxfId="657" priority="2320">
      <formula>G256&gt;=1</formula>
    </cfRule>
  </conditionalFormatting>
  <conditionalFormatting sqref="F142 F129 O142">
    <cfRule type="expression" dxfId="656" priority="1282">
      <formula>AND($F$142&lt;$F$129,$F$142&lt;&gt;"")</formula>
    </cfRule>
    <cfRule type="expression" dxfId="655" priority="1566">
      <formula>AND($F$142&gt;$F$129,$F$142&lt;&gt;"")</formula>
    </cfRule>
    <cfRule type="expression" dxfId="654" priority="1805">
      <formula>AND($F$142&lt;&gt;$F$129,$F$129&lt;&gt;"",$F$142="")</formula>
    </cfRule>
  </conditionalFormatting>
  <conditionalFormatting sqref="G142 G129 O142">
    <cfRule type="expression" dxfId="653" priority="1281">
      <formula>AND($G$142&lt;$G$129,$G$142&lt;&gt;"")</formula>
    </cfRule>
    <cfRule type="expression" dxfId="652" priority="1565">
      <formula>AND($G$142&gt;$G$129,$G$142&lt;&gt;"")</formula>
    </cfRule>
    <cfRule type="expression" dxfId="651" priority="1804">
      <formula>AND($G$142&lt;&gt;$G$129,$G$129&lt;&gt;"",$G$142="")</formula>
    </cfRule>
  </conditionalFormatting>
  <conditionalFormatting sqref="H142 H129 O142">
    <cfRule type="expression" dxfId="650" priority="1280">
      <formula>AND($H$142&lt;$H$129,$H$142&lt;&gt;"")</formula>
    </cfRule>
    <cfRule type="expression" dxfId="649" priority="1564">
      <formula>AND($H$142&gt;$H$129,$H$142&lt;&gt;"")</formula>
    </cfRule>
    <cfRule type="expression" dxfId="648" priority="1803">
      <formula>AND($H$142&lt;&gt;$H$129,$H$129&lt;&gt;"",$H$142="")</formula>
    </cfRule>
  </conditionalFormatting>
  <conditionalFormatting sqref="I142 I129 O142">
    <cfRule type="expression" dxfId="647" priority="1279">
      <formula>AND($I$142&lt;$I$129,$I$142&lt;&gt;"")</formula>
    </cfRule>
    <cfRule type="expression" dxfId="646" priority="1563">
      <formula>AND($I$142&gt;$I$129,$I$142&lt;&gt;"")</formula>
    </cfRule>
    <cfRule type="expression" dxfId="645" priority="1802">
      <formula>AND($I$142&lt;&gt;$I$129,$I$129&lt;&gt;"",$I$142="")</formula>
    </cfRule>
  </conditionalFormatting>
  <conditionalFormatting sqref="J142 J129 O142">
    <cfRule type="expression" dxfId="644" priority="1278">
      <formula>AND($J$142&lt;$J$129,$J$142&lt;&gt;"")</formula>
    </cfRule>
    <cfRule type="expression" dxfId="643" priority="1562">
      <formula>AND($J$142&gt;$J$129,$J$142&lt;&gt;"")</formula>
    </cfRule>
    <cfRule type="expression" dxfId="642" priority="1801">
      <formula>AND($J$142&lt;&gt;$J$129,$J$129&lt;&gt;"",$J$142="")</formula>
    </cfRule>
  </conditionalFormatting>
  <conditionalFormatting sqref="K142 K129 O142">
    <cfRule type="expression" dxfId="641" priority="1277">
      <formula>AND($K$142&lt;$K$129,$K$142&lt;&gt;"")</formula>
    </cfRule>
    <cfRule type="expression" dxfId="640" priority="1561">
      <formula>AND($K$142&gt;$K$129,$K$142&lt;&gt;"")</formula>
    </cfRule>
    <cfRule type="expression" dxfId="639" priority="1800">
      <formula>AND($K$142&lt;&gt;$K$129,$K$129&lt;&gt;"",$K$142="")</formula>
    </cfRule>
  </conditionalFormatting>
  <conditionalFormatting sqref="L142 L129 O142">
    <cfRule type="expression" dxfId="638" priority="1276">
      <formula>AND($L$142&lt;$L$129,$L$142&lt;&gt;"")</formula>
    </cfRule>
    <cfRule type="expression" dxfId="637" priority="1560">
      <formula>AND($L$142&gt;$L$129,$L$142&lt;&gt;"")</formula>
    </cfRule>
    <cfRule type="expression" dxfId="636" priority="1799">
      <formula>AND($L$142&lt;&gt;$L$129,$L$129&lt;&gt;"",$L$142="")</formula>
    </cfRule>
  </conditionalFormatting>
  <conditionalFormatting sqref="M142 M129 O142">
    <cfRule type="expression" dxfId="635" priority="1275">
      <formula>AND($M$142&lt;$M$129,$M$142&lt;&gt;"")</formula>
    </cfRule>
    <cfRule type="expression" dxfId="634" priority="1559">
      <formula>AND($M$142&gt;$M$129,$M$142&lt;&gt;"")</formula>
    </cfRule>
    <cfRule type="expression" dxfId="633" priority="1798">
      <formula>AND($M$142&lt;&gt;$M$129,$M$129&lt;&gt;"",$M$142="")</formula>
    </cfRule>
  </conditionalFormatting>
  <conditionalFormatting sqref="G303 C313:C316 C318 C320:C323 C324:G326 D313:F315 C317:F317 C319:F319 G313:G323 H313:H326 D321:F322">
    <cfRule type="expression" dxfId="632" priority="1549">
      <formula>$G$301="Yes"</formula>
    </cfRule>
  </conditionalFormatting>
  <conditionalFormatting sqref="G305">
    <cfRule type="expression" dxfId="631" priority="1548">
      <formula>$G$301="Yes"</formula>
    </cfRule>
  </conditionalFormatting>
  <conditionalFormatting sqref="G307">
    <cfRule type="expression" dxfId="630" priority="1547">
      <formula>$G$301="Yes"</formula>
    </cfRule>
  </conditionalFormatting>
  <conditionalFormatting sqref="C311:D311 G311:I311">
    <cfRule type="expression" dxfId="629" priority="1546">
      <formula>$G$301="Yes"</formula>
    </cfRule>
  </conditionalFormatting>
  <conditionalFormatting sqref="D311:F311">
    <cfRule type="expression" dxfId="628" priority="1545">
      <formula>$G$301="Yes"</formula>
    </cfRule>
  </conditionalFormatting>
  <conditionalFormatting sqref="I312:I326">
    <cfRule type="expression" dxfId="627" priority="1544">
      <formula>$G$301="Yes"</formula>
    </cfRule>
  </conditionalFormatting>
  <conditionalFormatting sqref="C312">
    <cfRule type="expression" dxfId="626" priority="1543">
      <formula>$G$301="Yes"</formula>
    </cfRule>
  </conditionalFormatting>
  <conditionalFormatting sqref="D312:F312">
    <cfRule type="expression" dxfId="625" priority="1542">
      <formula>$G$301="Yes"</formula>
    </cfRule>
  </conditionalFormatting>
  <conditionalFormatting sqref="D316:F316">
    <cfRule type="expression" dxfId="624" priority="1541">
      <formula>$G$301="Yes"</formula>
    </cfRule>
  </conditionalFormatting>
  <conditionalFormatting sqref="D318:F318">
    <cfRule type="expression" dxfId="623" priority="1540">
      <formula>$G$301="Yes"</formula>
    </cfRule>
  </conditionalFormatting>
  <conditionalFormatting sqref="G312">
    <cfRule type="expression" dxfId="622" priority="1538">
      <formula>$G$301="Yes"</formula>
    </cfRule>
  </conditionalFormatting>
  <conditionalFormatting sqref="H312">
    <cfRule type="expression" dxfId="621" priority="1537">
      <formula>$G$301="Yes"</formula>
    </cfRule>
  </conditionalFormatting>
  <conditionalFormatting sqref="D320:F320">
    <cfRule type="expression" dxfId="620" priority="1536">
      <formula>$G$301="Yes"</formula>
    </cfRule>
  </conditionalFormatting>
  <conditionalFormatting sqref="D323:F323">
    <cfRule type="expression" dxfId="619" priority="1535">
      <formula>$G$301="Yes"</formula>
    </cfRule>
  </conditionalFormatting>
  <conditionalFormatting sqref="H251">
    <cfRule type="expression" dxfId="618" priority="2322">
      <formula>F239&gt;=1</formula>
    </cfRule>
  </conditionalFormatting>
  <conditionalFormatting sqref="H276">
    <cfRule type="expression" dxfId="617" priority="2324">
      <formula>F239&gt;=1</formula>
    </cfRule>
  </conditionalFormatting>
  <conditionalFormatting sqref="F253:G253">
    <cfRule type="expression" dxfId="616" priority="2326">
      <formula>D239&gt;=1</formula>
    </cfRule>
  </conditionalFormatting>
  <conditionalFormatting sqref="C251 F254:G266 E253:E266">
    <cfRule type="expression" dxfId="615" priority="2327">
      <formula>#REF!&gt;=1</formula>
    </cfRule>
  </conditionalFormatting>
  <conditionalFormatting sqref="C252 D251:D252 C245:G247">
    <cfRule type="expression" dxfId="614" priority="2337">
      <formula>G233&gt;=1</formula>
    </cfRule>
  </conditionalFormatting>
  <conditionalFormatting sqref="C249:G250">
    <cfRule type="expression" dxfId="613" priority="2355">
      <formula>G236&gt;=1</formula>
    </cfRule>
  </conditionalFormatting>
  <conditionalFormatting sqref="C270">
    <cfRule type="expression" dxfId="612" priority="2358">
      <formula>G233&gt;=1</formula>
    </cfRule>
  </conditionalFormatting>
  <conditionalFormatting sqref="H252:H264">
    <cfRule type="expression" dxfId="611" priority="2359">
      <formula>#REF!&gt;=1</formula>
    </cfRule>
  </conditionalFormatting>
  <conditionalFormatting sqref="H277:H289">
    <cfRule type="expression" dxfId="610" priority="2360">
      <formula>#REF!&gt;=1</formula>
    </cfRule>
  </conditionalFormatting>
  <conditionalFormatting sqref="E292:G292">
    <cfRule type="expression" dxfId="609" priority="2365">
      <formula>#REF!&gt;=1</formula>
    </cfRule>
  </conditionalFormatting>
  <conditionalFormatting sqref="H250">
    <cfRule type="expression" dxfId="608" priority="2366">
      <formula>#REF!&gt;=1</formula>
    </cfRule>
  </conditionalFormatting>
  <conditionalFormatting sqref="H275">
    <cfRule type="expression" dxfId="607" priority="2367">
      <formula>#REF!&gt;=1</formula>
    </cfRule>
  </conditionalFormatting>
  <conditionalFormatting sqref="E251:G252">
    <cfRule type="expression" dxfId="606" priority="2369">
      <formula>#REF!&gt;=1</formula>
    </cfRule>
  </conditionalFormatting>
  <conditionalFormatting sqref="L242:N242">
    <cfRule type="expression" dxfId="605" priority="1534">
      <formula>G233&gt;=2</formula>
    </cfRule>
  </conditionalFormatting>
  <conditionalFormatting sqref="T242:W242">
    <cfRule type="expression" dxfId="604" priority="1532">
      <formula>G233&gt;=3</formula>
    </cfRule>
  </conditionalFormatting>
  <conditionalFormatting sqref="AC242:AF242">
    <cfRule type="expression" dxfId="603" priority="1531">
      <formula>G233&gt;=4</formula>
    </cfRule>
  </conditionalFormatting>
  <conditionalFormatting sqref="AM242:AP242">
    <cfRule type="expression" dxfId="602" priority="1530">
      <formula>G233&gt;=5</formula>
    </cfRule>
  </conditionalFormatting>
  <conditionalFormatting sqref="AV242:AY242">
    <cfRule type="expression" dxfId="601" priority="1529">
      <formula>G233&gt;=6</formula>
    </cfRule>
  </conditionalFormatting>
  <conditionalFormatting sqref="AU239">
    <cfRule type="expression" dxfId="600" priority="2370">
      <formula>G233&gt;6</formula>
    </cfRule>
  </conditionalFormatting>
  <conditionalFormatting sqref="BM267">
    <cfRule type="expression" dxfId="599" priority="2372">
      <formula>G233&gt;8</formula>
    </cfRule>
  </conditionalFormatting>
  <conditionalFormatting sqref="BE242:BH242">
    <cfRule type="expression" dxfId="598" priority="1526">
      <formula>G233&gt;=7</formula>
    </cfRule>
  </conditionalFormatting>
  <conditionalFormatting sqref="BN242:BQ242">
    <cfRule type="expression" dxfId="597" priority="1525">
      <formula>G233&gt;=8</formula>
    </cfRule>
  </conditionalFormatting>
  <conditionalFormatting sqref="C391">
    <cfRule type="expression" dxfId="596" priority="1510">
      <formula>G$387="Yes"</formula>
    </cfRule>
  </conditionalFormatting>
  <conditionalFormatting sqref="E149">
    <cfRule type="expression" dxfId="595" priority="1860">
      <formula>AND(E149&lt;100%,E149&lt;&gt;"",B151="")</formula>
    </cfRule>
    <cfRule type="expression" dxfId="594" priority="2229">
      <formula>AND($E$149=100%,$B$151="")</formula>
    </cfRule>
  </conditionalFormatting>
  <conditionalFormatting sqref="G107 G110 G111">
    <cfRule type="expression" dxfId="593" priority="1493">
      <formula>AND($G$111&gt;100%,$G$110&lt;&gt;"")</formula>
    </cfRule>
  </conditionalFormatting>
  <conditionalFormatting sqref="I107 I110 I111">
    <cfRule type="expression" dxfId="592" priority="1491">
      <formula>AND($I$111&gt;100%,$I$110&lt;&gt;"")</formula>
    </cfRule>
  </conditionalFormatting>
  <conditionalFormatting sqref="M107 M110 M111">
    <cfRule type="expression" dxfId="591" priority="1487">
      <formula>AND($M$111&gt;100%,$M$110&lt;&gt;"")</formula>
    </cfRule>
  </conditionalFormatting>
  <conditionalFormatting sqref="F149">
    <cfRule type="expression" dxfId="590" priority="1471">
      <formula>AND(F149&lt;100%,F149&lt;&gt;"",B151="")</formula>
    </cfRule>
    <cfRule type="expression" dxfId="589" priority="1485">
      <formula>AND($F$149=100%,$B$151="")</formula>
    </cfRule>
  </conditionalFormatting>
  <conditionalFormatting sqref="G149">
    <cfRule type="expression" dxfId="588" priority="1470">
      <formula>AND(G149&lt;100%,G149&lt;&gt;"",B151="")</formula>
    </cfRule>
    <cfRule type="expression" dxfId="587" priority="1484">
      <formula>AND($G$149=100%,$B$151="")</formula>
    </cfRule>
  </conditionalFormatting>
  <conditionalFormatting sqref="H149">
    <cfRule type="expression" dxfId="586" priority="1469">
      <formula>AND(H149&lt;100%,H149&lt;&gt;"",B151="")</formula>
    </cfRule>
    <cfRule type="expression" dxfId="585" priority="1483">
      <formula>AND($H$149=100%,$B$151="")</formula>
    </cfRule>
  </conditionalFormatting>
  <conditionalFormatting sqref="I149">
    <cfRule type="expression" dxfId="584" priority="1468">
      <formula>AND(I149&lt;100%,I149&lt;&gt;"",B151="")</formula>
    </cfRule>
    <cfRule type="expression" dxfId="583" priority="1482">
      <formula>AND($I$149=100%,$B$151="")</formula>
    </cfRule>
  </conditionalFormatting>
  <conditionalFormatting sqref="J149">
    <cfRule type="expression" dxfId="582" priority="1467">
      <formula>AND(J149&lt;100%,J149&lt;&gt;"",B151="")</formula>
    </cfRule>
    <cfRule type="expression" dxfId="581" priority="1481">
      <formula>AND($J$149=100%,$B$151="")</formula>
    </cfRule>
  </conditionalFormatting>
  <conditionalFormatting sqref="K149">
    <cfRule type="expression" dxfId="580" priority="1466">
      <formula>AND(K149&lt;100%,K149&lt;&gt;"",B151="")</formula>
    </cfRule>
    <cfRule type="expression" dxfId="579" priority="1480">
      <formula>AND($K$149=100%,$B$151="")</formula>
    </cfRule>
  </conditionalFormatting>
  <conditionalFormatting sqref="L149">
    <cfRule type="expression" dxfId="578" priority="1465">
      <formula>AND(L149&lt;100%,L149&lt;&gt;"",B151="")</formula>
    </cfRule>
    <cfRule type="expression" dxfId="577" priority="1479">
      <formula>AND($L$149=100%,$B$151="")</formula>
    </cfRule>
  </conditionalFormatting>
  <conditionalFormatting sqref="M149">
    <cfRule type="expression" dxfId="576" priority="1464">
      <formula>AND(M149&lt;100%,M149&lt;&gt;"",B151="")</formula>
    </cfRule>
    <cfRule type="expression" dxfId="575" priority="1478">
      <formula>AND($M$149=100%,$B$151="")</formula>
    </cfRule>
  </conditionalFormatting>
  <conditionalFormatting sqref="H52">
    <cfRule type="expression" dxfId="574" priority="1477">
      <formula>AND($H$65&gt;100%,$H$64&lt;&gt;"")</formula>
    </cfRule>
  </conditionalFormatting>
  <conditionalFormatting sqref="I52">
    <cfRule type="expression" dxfId="573" priority="1476">
      <formula>AND($I$65&gt;100%,$I$64&lt;&gt;"")</formula>
    </cfRule>
  </conditionalFormatting>
  <conditionalFormatting sqref="J52">
    <cfRule type="expression" dxfId="572" priority="1475">
      <formula>AND($J$65&gt;100%,$J$64&lt;&gt;"")</formula>
    </cfRule>
  </conditionalFormatting>
  <conditionalFormatting sqref="K52">
    <cfRule type="expression" dxfId="571" priority="1474">
      <formula>AND($K$65&gt;100%,$K$64&lt;&gt;"")</formula>
    </cfRule>
  </conditionalFormatting>
  <conditionalFormatting sqref="L52">
    <cfRule type="expression" dxfId="570" priority="1473">
      <formula>AND($L$65&gt;100%,$L$64&lt;&gt;"")</formula>
    </cfRule>
  </conditionalFormatting>
  <conditionalFormatting sqref="M52">
    <cfRule type="expression" dxfId="569" priority="1472">
      <formula>AND($M$65&gt;100%,$M$64&lt;&gt;"")</formula>
    </cfRule>
  </conditionalFormatting>
  <conditionalFormatting sqref="B188:D188">
    <cfRule type="expression" dxfId="568" priority="1455">
      <formula>B188&lt;&gt;""</formula>
    </cfRule>
  </conditionalFormatting>
  <conditionalFormatting sqref="N187">
    <cfRule type="expression" dxfId="567" priority="1421">
      <formula>AND(N187=100%,$B$189="")</formula>
    </cfRule>
    <cfRule type="expression" dxfId="566" priority="1445">
      <formula>AND(N166&lt;&gt;"",N187&lt;100%,N187&lt;&gt;"",$B$189="")</formula>
    </cfRule>
  </conditionalFormatting>
  <conditionalFormatting sqref="B189:N189">
    <cfRule type="expression" dxfId="565" priority="1420">
      <formula>B189&lt;&gt;""</formula>
    </cfRule>
  </conditionalFormatting>
  <conditionalFormatting sqref="F167 O174">
    <cfRule type="expression" dxfId="564" priority="1400">
      <formula>AND($F$174&lt;&gt;$F$167,$F$167&lt;&gt;"",$F$174="")</formula>
    </cfRule>
  </conditionalFormatting>
  <conditionalFormatting sqref="J167 O174">
    <cfRule type="expression" dxfId="563" priority="1396">
      <formula>AND($J$174&lt;$J$167,$J$174&lt;&gt;"")</formula>
    </cfRule>
  </conditionalFormatting>
  <conditionalFormatting sqref="F186 F167 O186">
    <cfRule type="expression" dxfId="562" priority="1230">
      <formula>AND($F$186&lt;$F$167,$F$186&lt;&gt;"")</formula>
    </cfRule>
    <cfRule type="expression" dxfId="561" priority="1353">
      <formula>AND($F$186&gt;$F$167,$F$186&lt;&gt;"")</formula>
    </cfRule>
    <cfRule type="expression" dxfId="560" priority="1382">
      <formula>AND($F$186&lt;&gt;$F$167,$F$167&lt;&gt;"",$F$186="")</formula>
    </cfRule>
  </conditionalFormatting>
  <conditionalFormatting sqref="G186 G167 O186">
    <cfRule type="expression" dxfId="559" priority="1229">
      <formula>AND($G$186&lt;$G$167,$G$186&lt;&gt;"")</formula>
    </cfRule>
    <cfRule type="expression" dxfId="558" priority="1352">
      <formula>AND($G$186&gt;$G$167,$G$186&lt;&gt;"")</formula>
    </cfRule>
    <cfRule type="expression" dxfId="557" priority="1381">
      <formula>AND($G$186&lt;&gt;$G$167,$G$167&lt;&gt;"",$G$186="")</formula>
    </cfRule>
  </conditionalFormatting>
  <conditionalFormatting sqref="H186 H167 O186">
    <cfRule type="expression" dxfId="556" priority="1228">
      <formula>AND($H$186&lt;$H$167,$H$186&lt;&gt;"")</formula>
    </cfRule>
    <cfRule type="expression" dxfId="555" priority="1351">
      <formula>AND($H$186&gt;$H$167,$H$186&lt;&gt;"")</formula>
    </cfRule>
    <cfRule type="expression" dxfId="554" priority="1380">
      <formula>AND($H$186&lt;&gt;$H$167,$H$167&lt;&gt;"",$H$186="")</formula>
    </cfRule>
  </conditionalFormatting>
  <conditionalFormatting sqref="I186 I167 O186">
    <cfRule type="expression" dxfId="553" priority="1227">
      <formula>AND($I$186&lt;$I$167,$I$186&lt;&gt;"")</formula>
    </cfRule>
    <cfRule type="expression" dxfId="552" priority="1350">
      <formula>AND($I$186&gt;$I$167,$I$186&lt;&gt;"")</formula>
    </cfRule>
    <cfRule type="expression" dxfId="551" priority="1379">
      <formula>AND($I$186&lt;&gt;$I$167,$I$167&lt;&gt;"",$I$186="")</formula>
    </cfRule>
  </conditionalFormatting>
  <conditionalFormatting sqref="J186 J167 O186">
    <cfRule type="expression" dxfId="550" priority="1226">
      <formula>AND($J$186&lt;$J$167,$J$186&lt;&gt;"")</formula>
    </cfRule>
    <cfRule type="expression" dxfId="549" priority="1349">
      <formula>AND($J$186&gt;$J$167,$J$186&lt;&gt;"")</formula>
    </cfRule>
    <cfRule type="expression" dxfId="548" priority="1378">
      <formula>AND($J$186&lt;&gt;$J$167,$J$167&lt;&gt;"",$J$186="")</formula>
    </cfRule>
  </conditionalFormatting>
  <conditionalFormatting sqref="K186 K167 O186">
    <cfRule type="expression" dxfId="547" priority="1225">
      <formula>AND($K$186&lt;$K$167,$K$186&lt;&gt;"")</formula>
    </cfRule>
    <cfRule type="expression" dxfId="546" priority="1348">
      <formula>AND($K$186&gt;$K$167,$K$186&lt;&gt;"")</formula>
    </cfRule>
    <cfRule type="expression" dxfId="545" priority="1377">
      <formula>AND($K$186&lt;&gt;$K$167,$K$167&lt;&gt;"",$K$186="")</formula>
    </cfRule>
  </conditionalFormatting>
  <conditionalFormatting sqref="L186 L167 O186">
    <cfRule type="expression" dxfId="544" priority="1224">
      <formula>AND($L$186&lt;$L$167,$L$186&lt;&gt;"")</formula>
    </cfRule>
    <cfRule type="expression" dxfId="543" priority="1347">
      <formula>AND($L$186&gt;$L$167,$L$186&lt;&gt;"")</formula>
    </cfRule>
    <cfRule type="expression" dxfId="542" priority="1376">
      <formula>AND($L$186&lt;&gt;$L$167,$L$167&lt;&gt;"",$L$186="")</formula>
    </cfRule>
  </conditionalFormatting>
  <conditionalFormatting sqref="M186 M167 O186">
    <cfRule type="expression" dxfId="541" priority="1223">
      <formula>AND($M$186&lt;$M$167,$M$186&lt;&gt;"")</formula>
    </cfRule>
    <cfRule type="expression" dxfId="540" priority="1346">
      <formula>AND($M$186&gt;$M$167,$M$186&lt;&gt;"")</formula>
    </cfRule>
    <cfRule type="expression" dxfId="539" priority="1375">
      <formula>AND($M$186&lt;&gt;$M$167,$M$167&lt;&gt;"",$M$186="")</formula>
    </cfRule>
  </conditionalFormatting>
  <conditionalFormatting sqref="F180 F167 O180">
    <cfRule type="expression" dxfId="538" priority="1239">
      <formula>AND($F$180&lt;$F$167,$F$180&lt;&gt;"")</formula>
    </cfRule>
    <cfRule type="expression" dxfId="537" priority="1362">
      <formula>AND($F$180&gt;$F$167,$F$180&lt;&gt;"")</formula>
    </cfRule>
    <cfRule type="expression" dxfId="536" priority="1391">
      <formula>AND($F$180&lt;&gt;$F$167,$F$167&lt;&gt;"",$F$180="")</formula>
    </cfRule>
  </conditionalFormatting>
  <conditionalFormatting sqref="G180 G167 O180">
    <cfRule type="expression" dxfId="535" priority="1238">
      <formula>AND($G$180&lt;$G$167,$G$180&lt;&gt;"")</formula>
    </cfRule>
    <cfRule type="expression" dxfId="534" priority="1361">
      <formula>AND($G$180&gt;$G$167,$G$180&lt;&gt;"")</formula>
    </cfRule>
    <cfRule type="expression" dxfId="533" priority="1390">
      <formula>AND($G$180&lt;&gt;$G$167,$G$167&lt;&gt;"",$G$180="")</formula>
    </cfRule>
  </conditionalFormatting>
  <conditionalFormatting sqref="H180 H167 O180">
    <cfRule type="expression" dxfId="532" priority="1237">
      <formula>AND($H$180&lt;$H$167,$H$180&lt;&gt;"")</formula>
    </cfRule>
    <cfRule type="expression" dxfId="531" priority="1360">
      <formula>AND($H$180&gt;$H$167,$H$180&lt;&gt;"")</formula>
    </cfRule>
    <cfRule type="expression" dxfId="530" priority="1389">
      <formula>AND($H$180&lt;&gt;$H$167,$H$167&lt;&gt;"",$H$180="")</formula>
    </cfRule>
  </conditionalFormatting>
  <conditionalFormatting sqref="I180 I167 O180">
    <cfRule type="expression" dxfId="529" priority="1236">
      <formula>AND($I$180&lt;$I$167,$I$180&lt;&gt;"")</formula>
    </cfRule>
    <cfRule type="expression" dxfId="528" priority="1359">
      <formula>AND($I$180&gt;$I$167,$I$180&lt;&gt;"")</formula>
    </cfRule>
    <cfRule type="expression" dxfId="527" priority="1388">
      <formula>AND($I$180&lt;&gt;$I$167,$I$167&lt;&gt;"",$I$180="")</formula>
    </cfRule>
  </conditionalFormatting>
  <conditionalFormatting sqref="J180 J167 O180">
    <cfRule type="expression" dxfId="526" priority="1235">
      <formula>AND($J$180&lt;$J$167,$J$180&lt;&gt;"")</formula>
    </cfRule>
    <cfRule type="expression" dxfId="525" priority="1358">
      <formula>AND($J$180&gt;$J$167,$J$180&lt;&gt;"")</formula>
    </cfRule>
    <cfRule type="expression" dxfId="524" priority="1387">
      <formula>AND($J$180&lt;&gt;$J$167,$J$167&lt;&gt;"",$J$180="")</formula>
    </cfRule>
  </conditionalFormatting>
  <conditionalFormatting sqref="K180 K167 O180">
    <cfRule type="expression" dxfId="523" priority="1234">
      <formula>AND($K$180&lt;$K$167,$K$180&lt;&gt;"")</formula>
    </cfRule>
    <cfRule type="expression" dxfId="522" priority="1357">
      <formula>AND($K$180&gt;$K$167,$K$180&lt;&gt;"")</formula>
    </cfRule>
    <cfRule type="expression" dxfId="521" priority="1386">
      <formula>AND($K$180&lt;&gt;$K$167,$K$167&lt;&gt;"",$K$180="")</formula>
    </cfRule>
  </conditionalFormatting>
  <conditionalFormatting sqref="L180 L167 O180">
    <cfRule type="expression" dxfId="520" priority="1233">
      <formula>AND($L$180&lt;$L$167,$L$180&lt;&gt;"")</formula>
    </cfRule>
    <cfRule type="expression" dxfId="519" priority="1356">
      <formula>AND($L$180&gt;$L$167,$L$180&lt;&gt;"")</formula>
    </cfRule>
    <cfRule type="expression" dxfId="518" priority="1385">
      <formula>AND($L$180&lt;&gt;$L$167,$L$167&lt;&gt;"",$L$180="")</formula>
    </cfRule>
  </conditionalFormatting>
  <conditionalFormatting sqref="M180 M167 O180">
    <cfRule type="expression" dxfId="517" priority="1232">
      <formula>AND($M$180&lt;$M$167,$M$180&lt;&gt;"")</formula>
    </cfRule>
    <cfRule type="expression" dxfId="516" priority="1355">
      <formula>AND($M$180&gt;$M$167,$M$180&lt;&gt;"")</formula>
    </cfRule>
    <cfRule type="expression" dxfId="515" priority="1384">
      <formula>AND($M$180&lt;&gt;$M$167,$M$167&lt;&gt;"",$M$180="")</formula>
    </cfRule>
  </conditionalFormatting>
  <conditionalFormatting sqref="F166">
    <cfRule type="expression" dxfId="514" priority="1328">
      <formula>$F$165&lt;$F$166</formula>
    </cfRule>
  </conditionalFormatting>
  <conditionalFormatting sqref="G166">
    <cfRule type="expression" dxfId="513" priority="1327">
      <formula>$G$165&lt;$G$166</formula>
    </cfRule>
  </conditionalFormatting>
  <conditionalFormatting sqref="H166">
    <cfRule type="expression" dxfId="512" priority="1326">
      <formula>$H$165&lt;$H$166</formula>
    </cfRule>
  </conditionalFormatting>
  <conditionalFormatting sqref="I166">
    <cfRule type="expression" dxfId="511" priority="1325">
      <formula>$I$165&lt;$I$166</formula>
    </cfRule>
  </conditionalFormatting>
  <conditionalFormatting sqref="J166">
    <cfRule type="expression" dxfId="510" priority="1324">
      <formula>$J$165&lt;$J$166</formula>
    </cfRule>
  </conditionalFormatting>
  <conditionalFormatting sqref="K166">
    <cfRule type="expression" dxfId="509" priority="1323">
      <formula>$K$165&lt;$K$166</formula>
    </cfRule>
  </conditionalFormatting>
  <conditionalFormatting sqref="L166">
    <cfRule type="expression" dxfId="508" priority="1322">
      <formula>$L$165&lt;$L$166</formula>
    </cfRule>
  </conditionalFormatting>
  <conditionalFormatting sqref="M166">
    <cfRule type="expression" dxfId="507" priority="1321">
      <formula>$M$165&lt;$M$166</formula>
    </cfRule>
  </conditionalFormatting>
  <conditionalFormatting sqref="E129 O142">
    <cfRule type="expression" dxfId="506" priority="1567">
      <formula>AND($E$142&gt;$E$129,$E$142&lt;&gt;"")</formula>
    </cfRule>
  </conditionalFormatting>
  <conditionalFormatting sqref="E129 O136">
    <cfRule type="expression" dxfId="505" priority="1581">
      <formula>AND($E$136&lt;&gt;$E$129,$E$136&lt;&gt;"")</formula>
    </cfRule>
    <cfRule type="expression" dxfId="504" priority="1833">
      <formula>AND($E$136&gt;$E$129,$E$136&lt;&gt;"")</formula>
    </cfRule>
  </conditionalFormatting>
  <conditionalFormatting sqref="E136 E129 O136">
    <cfRule type="expression" dxfId="503" priority="1293">
      <formula>AND($E$136&lt;$E$129,$E$136&lt;&gt;"")</formula>
    </cfRule>
    <cfRule type="expression" dxfId="502" priority="1318">
      <formula>AND($E$136&gt;$E$129,$E$136&lt;&gt;"")</formula>
    </cfRule>
    <cfRule type="expression" dxfId="501" priority="1319">
      <formula>AND($E$136&lt;&gt;$E$129,$E$129&lt;&gt;"",$E$136="")</formula>
    </cfRule>
  </conditionalFormatting>
  <conditionalFormatting sqref="G66">
    <cfRule type="expression" dxfId="500" priority="1906">
      <formula>AND($G$66&gt;=0.7,$G$66&lt;&gt;"",$B$68="")</formula>
    </cfRule>
    <cfRule type="expression" dxfId="499" priority="1913">
      <formula>AND($G$66&lt;0.7,$G$65&lt;=100%,$G$65&gt;0,$B$68="")</formula>
    </cfRule>
  </conditionalFormatting>
  <conditionalFormatting sqref="H66">
    <cfRule type="expression" dxfId="498" priority="615">
      <formula>AND($H$66&gt;=0.7,$H$66&lt;&gt;"",$B$68="")</formula>
    </cfRule>
    <cfRule type="expression" dxfId="497" priority="1317">
      <formula>AND($H$66&lt;0.7,$H$65&lt;=100%,$H$65&gt;0,$B$68="")</formula>
    </cfRule>
  </conditionalFormatting>
  <conditionalFormatting sqref="I66">
    <cfRule type="expression" dxfId="496" priority="614">
      <formula>AND($I$66&gt;=0.7,$I$66&lt;&gt;"",$B$68="")</formula>
    </cfRule>
    <cfRule type="expression" dxfId="495" priority="1316">
      <formula>AND($I$66&lt;0.7,$I$65&lt;=100%,$I$65&gt;0,$B$68="")</formula>
    </cfRule>
  </conditionalFormatting>
  <conditionalFormatting sqref="J66">
    <cfRule type="expression" dxfId="494" priority="613">
      <formula>AND($J$66&gt;=0.7,$J$66&lt;&gt;"",$B$68="")</formula>
    </cfRule>
    <cfRule type="expression" dxfId="493" priority="1315">
      <formula>AND($J$66&lt;0.7,$J$65&lt;=100%,$J$65&gt;0,$B$68="")</formula>
    </cfRule>
  </conditionalFormatting>
  <conditionalFormatting sqref="K66">
    <cfRule type="expression" dxfId="492" priority="612">
      <formula>AND($K$66&gt;=0.7,$K$66&lt;&gt;"",$B$68="")</formula>
    </cfRule>
    <cfRule type="expression" dxfId="491" priority="1314">
      <formula>AND($K$66&lt;0.7,$K$65&lt;=100%,$K$65&gt;0,$B$68="")</formula>
    </cfRule>
  </conditionalFormatting>
  <conditionalFormatting sqref="L66">
    <cfRule type="expression" dxfId="490" priority="611">
      <formula>AND($L$66&gt;=0.7,$L$66&lt;&gt;"",$B$68="")</formula>
    </cfRule>
    <cfRule type="expression" dxfId="489" priority="1313">
      <formula>AND($L$66&lt;0.7,$L$65&lt;=100%,$L$65&gt;0,$B$68="")</formula>
    </cfRule>
  </conditionalFormatting>
  <conditionalFormatting sqref="M66">
    <cfRule type="expression" dxfId="488" priority="610">
      <formula>AND($M$66&gt;=0.7,$M$66&lt;&gt;"",$B$68="")</formula>
    </cfRule>
    <cfRule type="expression" dxfId="487" priority="1312">
      <formula>AND($M$66&lt;0.7,$M$65&lt;=100%,$M$65&gt;0,$B$68="")</formula>
    </cfRule>
  </conditionalFormatting>
  <conditionalFormatting sqref="F136 F129 O136">
    <cfRule type="expression" dxfId="486" priority="1294">
      <formula>AND($F$136&lt;$F$129,$F$136&lt;&gt;"")</formula>
    </cfRule>
    <cfRule type="expression" dxfId="485" priority="1302">
      <formula>AND($F$136&lt;&gt;$F$129,$F$129&lt;&gt;"",$F$136="")</formula>
    </cfRule>
    <cfRule type="expression" dxfId="484" priority="1310">
      <formula>AND($F$136&gt;$F$129,$F$136&lt;&gt;"")</formula>
    </cfRule>
  </conditionalFormatting>
  <conditionalFormatting sqref="G136 G129 O136">
    <cfRule type="expression" dxfId="483" priority="1292">
      <formula>AND($G$136&lt;$G$129,$G$136&lt;&gt;"")</formula>
    </cfRule>
    <cfRule type="expression" dxfId="482" priority="1301">
      <formula>AND($G$136&lt;&gt;$G$129,$G$129&lt;&gt;"",$G$136="")</formula>
    </cfRule>
    <cfRule type="expression" dxfId="481" priority="1309">
      <formula>AND($G$136&gt;$G$129,$G$136&lt;&gt;"")</formula>
    </cfRule>
  </conditionalFormatting>
  <conditionalFormatting sqref="H136 H129 O136">
    <cfRule type="expression" dxfId="480" priority="1291">
      <formula>AND($H$136&lt;$H$129,$H$136&lt;&gt;"")</formula>
    </cfRule>
    <cfRule type="expression" dxfId="479" priority="1300">
      <formula>AND($H$136&lt;&gt;$H$129,$H$129&lt;&gt;"",$H$136="")</formula>
    </cfRule>
    <cfRule type="expression" dxfId="478" priority="1308">
      <formula>AND($H$136&gt;$H$129,$H$136&lt;&gt;"")</formula>
    </cfRule>
  </conditionalFormatting>
  <conditionalFormatting sqref="I136 I129 O136">
    <cfRule type="expression" dxfId="477" priority="1290">
      <formula>AND($I$136&lt;$I$129,$I$136&lt;&gt;"")</formula>
    </cfRule>
    <cfRule type="expression" dxfId="476" priority="1299">
      <formula>AND($I$136&lt;&gt;$I$129,$I$129&lt;&gt;"",$I$136="")</formula>
    </cfRule>
    <cfRule type="expression" dxfId="475" priority="1307">
      <formula>AND($I$136&gt;$I$129,$I$136&lt;&gt;"")</formula>
    </cfRule>
  </conditionalFormatting>
  <conditionalFormatting sqref="J136 J129 O136">
    <cfRule type="expression" dxfId="474" priority="1289">
      <formula>AND($J$136&lt;$J$129,$J$136&lt;&gt;"")</formula>
    </cfRule>
    <cfRule type="expression" dxfId="473" priority="1298">
      <formula>AND($J$136&lt;&gt;$J$129,$J$129&lt;&gt;"",$J$136="")</formula>
    </cfRule>
    <cfRule type="expression" dxfId="472" priority="1306">
      <formula>AND($J$136&gt;$J$129,$J$136&lt;&gt;"")</formula>
    </cfRule>
  </conditionalFormatting>
  <conditionalFormatting sqref="K136 K129 O136">
    <cfRule type="expression" dxfId="471" priority="1288">
      <formula>AND($K$136&lt;$K$129,$K$136&lt;&gt;"")</formula>
    </cfRule>
    <cfRule type="expression" dxfId="470" priority="1297">
      <formula>AND($K$136&lt;&gt;$K$129,$K$129&lt;&gt;"",$K$136="")</formula>
    </cfRule>
    <cfRule type="expression" dxfId="469" priority="1305">
      <formula>AND($K$136&gt;$K$129,$K$136&lt;&gt;"")</formula>
    </cfRule>
  </conditionalFormatting>
  <conditionalFormatting sqref="L136 L129 O136">
    <cfRule type="expression" dxfId="468" priority="1287">
      <formula>AND($L$136&lt;$L$129,$L$136&lt;&gt;"")</formula>
    </cfRule>
    <cfRule type="expression" dxfId="467" priority="1296">
      <formula>AND($L$136&lt;&gt;$L$129,$L$129&lt;&gt;"",$L$136="")</formula>
    </cfRule>
    <cfRule type="expression" dxfId="466" priority="1304">
      <formula>AND($L$136&gt;$L$129,$L$136&lt;&gt;"")</formula>
    </cfRule>
  </conditionalFormatting>
  <conditionalFormatting sqref="M136 M129 O136">
    <cfRule type="expression" dxfId="465" priority="1286">
      <formula>AND($M$136&lt;$M$129,$M$136&lt;&gt;"")</formula>
    </cfRule>
    <cfRule type="expression" dxfId="464" priority="1295">
      <formula>AND($M$136&lt;&gt;$M$129,$M$129&lt;&gt;"",$M$136="")</formula>
    </cfRule>
    <cfRule type="expression" dxfId="463" priority="1303">
      <formula>AND($M$136&gt;$M$129,$M$136&lt;&gt;"")</formula>
    </cfRule>
  </conditionalFormatting>
  <conditionalFormatting sqref="E142 E129 O142">
    <cfRule type="expression" dxfId="462" priority="1283">
      <formula>AND($E$142&lt;$E$129,$E$142&lt;&gt;"")</formula>
    </cfRule>
    <cfRule type="expression" dxfId="461" priority="1284">
      <formula>AND($E$142&gt;$E$129,$E$142&lt;&gt;"")</formula>
    </cfRule>
    <cfRule type="expression" dxfId="460" priority="1285">
      <formula>AND($E$142&lt;&gt;$E$129,$E$129&lt;&gt;"",$E$142="")</formula>
    </cfRule>
  </conditionalFormatting>
  <conditionalFormatting sqref="E129 O148 E148">
    <cfRule type="expression" dxfId="459" priority="1558">
      <formula>AND($E$148&gt;$E$129,$E$148&lt;&gt;"")</formula>
    </cfRule>
    <cfRule type="expression" dxfId="458" priority="1797">
      <formula>AND($E$148&lt;&gt;$E$129,$E$129&lt;&gt;"",$E$148="")</formula>
    </cfRule>
  </conditionalFormatting>
  <conditionalFormatting sqref="E148 E129 O148">
    <cfRule type="expression" dxfId="457" priority="1274">
      <formula>AND($E$148&lt;$E$129,$E$148&lt;&gt;"")</formula>
    </cfRule>
  </conditionalFormatting>
  <conditionalFormatting sqref="F167 O174">
    <cfRule type="expression" dxfId="456" priority="1371">
      <formula>AND($F$174&lt;$F$167,$F$174&lt;&gt;"")</formula>
    </cfRule>
    <cfRule type="expression" dxfId="455" priority="1399">
      <formula>AND($F$174&gt;$F$167,$F$174&lt;&gt;"")</formula>
    </cfRule>
  </conditionalFormatting>
  <conditionalFormatting sqref="G167 O174">
    <cfRule type="expression" dxfId="454" priority="1370">
      <formula>AND($G$174&lt;&gt;$G$167,$G$167&lt;&gt;"",$G$174="")</formula>
    </cfRule>
    <cfRule type="expression" dxfId="453" priority="1398">
      <formula>AND($G$174&gt;$G$167,$G$174&lt;&gt;"")</formula>
    </cfRule>
  </conditionalFormatting>
  <conditionalFormatting sqref="G167 O174">
    <cfRule type="expression" dxfId="452" priority="1246">
      <formula>AND($G$174&lt;$G$167,$G$174&lt;&gt;"")</formula>
    </cfRule>
  </conditionalFormatting>
  <conditionalFormatting sqref="H167 O174">
    <cfRule type="expression" dxfId="451" priority="1369">
      <formula>AND($H$174&lt;&gt;$H$167,$H$167&lt;&gt;"",$H$174="")</formula>
    </cfRule>
    <cfRule type="expression" dxfId="450" priority="1397">
      <formula>AND($H$174&gt;$H$167,$H$174&lt;&gt;"")</formula>
    </cfRule>
  </conditionalFormatting>
  <conditionalFormatting sqref="H167 O174">
    <cfRule type="expression" dxfId="449" priority="1245">
      <formula>AND($H$174&lt;$H$167,$H$174&lt;&gt;"")</formula>
    </cfRule>
  </conditionalFormatting>
  <conditionalFormatting sqref="I167 O174">
    <cfRule type="expression" dxfId="448" priority="1368">
      <formula>AND($I$174&lt;&gt;$I$167,$I$167&lt;&gt;"",$I$174="")</formula>
    </cfRule>
    <cfRule type="expression" dxfId="447" priority="1395">
      <formula>AND($I$174&gt;$I$167,$I$174&lt;&gt;"")</formula>
    </cfRule>
  </conditionalFormatting>
  <conditionalFormatting sqref="I167 O174">
    <cfRule type="expression" dxfId="446" priority="1244">
      <formula>AND($I$174&lt;$I$167,$I$174&lt;&gt;"")</formula>
    </cfRule>
  </conditionalFormatting>
  <conditionalFormatting sqref="J167 O174">
    <cfRule type="expression" dxfId="445" priority="1367">
      <formula>AND($J$174&lt;&gt;$J$167,$J$167&lt;&gt;"",$J$174="")</formula>
    </cfRule>
    <cfRule type="expression" dxfId="444" priority="1394">
      <formula>AND($J$174&gt;$J$167,$J$174&lt;&gt;"")</formula>
    </cfRule>
  </conditionalFormatting>
  <conditionalFormatting sqref="K167 O174">
    <cfRule type="expression" dxfId="443" priority="1366">
      <formula>AND($K$174&lt;&gt;$K$167,$K$167&lt;&gt;"",$K$174="")</formula>
    </cfRule>
    <cfRule type="expression" dxfId="442" priority="1393">
      <formula>AND($K$174&gt;$K$167,$K$174&lt;&gt;"")</formula>
    </cfRule>
  </conditionalFormatting>
  <conditionalFormatting sqref="K167 O174">
    <cfRule type="expression" dxfId="441" priority="1243">
      <formula>AND($K$174&lt;$K$167,$K$174&lt;&gt;"")</formula>
    </cfRule>
  </conditionalFormatting>
  <conditionalFormatting sqref="L167 O174">
    <cfRule type="expression" dxfId="440" priority="1365">
      <formula>AND($L$174&lt;&gt;$L$167,$L$167&lt;&gt;"",$L$174="")</formula>
    </cfRule>
    <cfRule type="expression" dxfId="439" priority="1374">
      <formula>AND($L$174&gt;$L$167,$L$174&lt;&gt;"")</formula>
    </cfRule>
  </conditionalFormatting>
  <conditionalFormatting sqref="L167 O174">
    <cfRule type="expression" dxfId="438" priority="1242">
      <formula>AND($L$174&lt;$L$167,$L$174&lt;&gt;"")</formula>
    </cfRule>
  </conditionalFormatting>
  <conditionalFormatting sqref="M167 O174">
    <cfRule type="expression" dxfId="437" priority="1364">
      <formula>AND($M$174&lt;&gt;$M$167,$M$167&lt;&gt;"",$M$174="")</formula>
    </cfRule>
    <cfRule type="expression" dxfId="436" priority="1373">
      <formula>AND($M$174&gt;$M$167,$M$174&lt;&gt;"")</formula>
    </cfRule>
  </conditionalFormatting>
  <conditionalFormatting sqref="M167 O174">
    <cfRule type="expression" dxfId="435" priority="1241">
      <formula>AND($M$174&lt;$M$167,$M$174&lt;&gt;"")</formula>
    </cfRule>
  </conditionalFormatting>
  <conditionalFormatting sqref="B130">
    <cfRule type="expression" dxfId="434" priority="1220">
      <formula>MOD(ROW(),2)=1</formula>
    </cfRule>
  </conditionalFormatting>
  <conditionalFormatting sqref="B130">
    <cfRule type="expression" dxfId="433" priority="1219">
      <formula>MOD(ROW(),2)=1</formula>
    </cfRule>
  </conditionalFormatting>
  <conditionalFormatting sqref="CD237">
    <cfRule type="expression" dxfId="432" priority="1218">
      <formula>G233&gt;=9</formula>
    </cfRule>
  </conditionalFormatting>
  <conditionalFormatting sqref="BL237">
    <cfRule type="expression" dxfId="431" priority="1217">
      <formula>(OR(G233=7,G233=8))</formula>
    </cfRule>
  </conditionalFormatting>
  <conditionalFormatting sqref="AT237">
    <cfRule type="expression" dxfId="430" priority="1216">
      <formula>(OR(G233=5,G233=6))</formula>
    </cfRule>
  </conditionalFormatting>
  <conditionalFormatting sqref="AB237">
    <cfRule type="expression" dxfId="429" priority="1215">
      <formula>(OR(G233=3,G233=4))</formula>
    </cfRule>
  </conditionalFormatting>
  <conditionalFormatting sqref="C424:N424">
    <cfRule type="expression" dxfId="428" priority="1214">
      <formula>D417&lt;&gt;""</formula>
    </cfRule>
  </conditionalFormatting>
  <conditionalFormatting sqref="C425:N425">
    <cfRule type="expression" dxfId="427" priority="1213">
      <formula>D417&lt;&gt;""</formula>
    </cfRule>
  </conditionalFormatting>
  <conditionalFormatting sqref="H206">
    <cfRule type="expression" dxfId="426" priority="966">
      <formula>G201="Yes"</formula>
    </cfRule>
  </conditionalFormatting>
  <conditionalFormatting sqref="C205:H205">
    <cfRule type="expression" dxfId="425" priority="926">
      <formula>G201="Yes"</formula>
    </cfRule>
  </conditionalFormatting>
  <conditionalFormatting sqref="C206:E206">
    <cfRule type="expression" dxfId="424" priority="925">
      <formula>G201="Yes"</formula>
    </cfRule>
  </conditionalFormatting>
  <conditionalFormatting sqref="F206:G206">
    <cfRule type="expression" dxfId="423" priority="924">
      <formula>G201="Yes"</formula>
    </cfRule>
  </conditionalFormatting>
  <conditionalFormatting sqref="C207:E207">
    <cfRule type="expression" dxfId="422" priority="920">
      <formula>G203&gt;=1</formula>
    </cfRule>
  </conditionalFormatting>
  <conditionalFormatting sqref="F207:G207">
    <cfRule type="expression" dxfId="421" priority="919">
      <formula>G203&gt;=1</formula>
    </cfRule>
  </conditionalFormatting>
  <conditionalFormatting sqref="C208:E208">
    <cfRule type="expression" dxfId="420" priority="914">
      <formula>G203&gt;=2</formula>
    </cfRule>
  </conditionalFormatting>
  <conditionalFormatting sqref="C209:E209">
    <cfRule type="expression" dxfId="419" priority="901">
      <formula>G203&gt;=3</formula>
    </cfRule>
  </conditionalFormatting>
  <conditionalFormatting sqref="BL42">
    <cfRule type="expression" dxfId="418" priority="890">
      <formula>P48&lt;&gt;""</formula>
    </cfRule>
  </conditionalFormatting>
  <conditionalFormatting sqref="E64:E66 F65:M65">
    <cfRule type="expression" dxfId="417" priority="873">
      <formula>AND($E$65&gt;100%,$E$64&lt;&gt;"")</formula>
    </cfRule>
  </conditionalFormatting>
  <conditionalFormatting sqref="F64 F66">
    <cfRule type="expression" dxfId="416" priority="872">
      <formula>AND($F$65&gt;100%,$F$64&lt;&gt;"")</formula>
    </cfRule>
  </conditionalFormatting>
  <conditionalFormatting sqref="F208:G208">
    <cfRule type="expression" dxfId="415" priority="857">
      <formula>G203&gt;=2</formula>
    </cfRule>
  </conditionalFormatting>
  <conditionalFormatting sqref="F209:G209">
    <cfRule type="expression" dxfId="414" priority="855">
      <formula>G203&gt;=3</formula>
    </cfRule>
  </conditionalFormatting>
  <conditionalFormatting sqref="C210:E210">
    <cfRule type="expression" dxfId="413" priority="853">
      <formula>G203&gt;=4</formula>
    </cfRule>
  </conditionalFormatting>
  <conditionalFormatting sqref="F210:G210">
    <cfRule type="expression" dxfId="412" priority="852">
      <formula>G203&gt;=4</formula>
    </cfRule>
  </conditionalFormatting>
  <conditionalFormatting sqref="C211:E211">
    <cfRule type="expression" dxfId="411" priority="841">
      <formula>G203&gt;=5</formula>
    </cfRule>
  </conditionalFormatting>
  <conditionalFormatting sqref="F211:G211">
    <cfRule type="expression" dxfId="410" priority="840">
      <formula>G203&gt;=5</formula>
    </cfRule>
  </conditionalFormatting>
  <conditionalFormatting sqref="C212:E212">
    <cfRule type="expression" dxfId="409" priority="833">
      <formula>G203&gt;=6</formula>
    </cfRule>
  </conditionalFormatting>
  <conditionalFormatting sqref="F212:G212">
    <cfRule type="expression" dxfId="408" priority="832">
      <formula>G203&gt;=6</formula>
    </cfRule>
  </conditionalFormatting>
  <conditionalFormatting sqref="C213:E213">
    <cfRule type="expression" dxfId="407" priority="829">
      <formula>G203&gt;=7</formula>
    </cfRule>
  </conditionalFormatting>
  <conditionalFormatting sqref="F213:G213">
    <cfRule type="expression" dxfId="406" priority="828">
      <formula>G203&gt;=7</formula>
    </cfRule>
  </conditionalFormatting>
  <conditionalFormatting sqref="C214:E214">
    <cfRule type="expression" dxfId="405" priority="825">
      <formula>G203&gt;=8</formula>
    </cfRule>
  </conditionalFormatting>
  <conditionalFormatting sqref="F214:G214">
    <cfRule type="expression" dxfId="404" priority="824">
      <formula>G203&gt;=8</formula>
    </cfRule>
  </conditionalFormatting>
  <conditionalFormatting sqref="C215:E215">
    <cfRule type="expression" dxfId="403" priority="821">
      <formula>G203&gt;=9</formula>
    </cfRule>
  </conditionalFormatting>
  <conditionalFormatting sqref="F215:G215">
    <cfRule type="expression" dxfId="402" priority="820">
      <formula>G203&gt;=9</formula>
    </cfRule>
  </conditionalFormatting>
  <conditionalFormatting sqref="C216:E216">
    <cfRule type="expression" dxfId="401" priority="817">
      <formula>G203&gt;=10</formula>
    </cfRule>
  </conditionalFormatting>
  <conditionalFormatting sqref="F216:G216">
    <cfRule type="expression" dxfId="400" priority="816">
      <formula>G203&gt;=10</formula>
    </cfRule>
  </conditionalFormatting>
  <conditionalFormatting sqref="C217:E217">
    <cfRule type="expression" dxfId="399" priority="813">
      <formula>G203&gt;=11</formula>
    </cfRule>
  </conditionalFormatting>
  <conditionalFormatting sqref="F217:G217">
    <cfRule type="expression" dxfId="398" priority="812">
      <formula>G203&gt;=11</formula>
    </cfRule>
  </conditionalFormatting>
  <conditionalFormatting sqref="C218:E218">
    <cfRule type="expression" dxfId="397" priority="809">
      <formula>G203&gt;=12</formula>
    </cfRule>
  </conditionalFormatting>
  <conditionalFormatting sqref="F218:G218">
    <cfRule type="expression" dxfId="396" priority="808">
      <formula>G203&gt;=12</formula>
    </cfRule>
  </conditionalFormatting>
  <conditionalFormatting sqref="C219:E219">
    <cfRule type="expression" dxfId="395" priority="805">
      <formula>G203&gt;=13</formula>
    </cfRule>
  </conditionalFormatting>
  <conditionalFormatting sqref="F219:G219">
    <cfRule type="expression" dxfId="394" priority="804">
      <formula>G203&gt;=13</formula>
    </cfRule>
  </conditionalFormatting>
  <conditionalFormatting sqref="C220:E220">
    <cfRule type="expression" dxfId="393" priority="801">
      <formula>G203&gt;=14</formula>
    </cfRule>
  </conditionalFormatting>
  <conditionalFormatting sqref="F220:G220">
    <cfRule type="expression" dxfId="392" priority="800">
      <formula>G203&gt;=14</formula>
    </cfRule>
  </conditionalFormatting>
  <conditionalFormatting sqref="C221:E221">
    <cfRule type="expression" dxfId="391" priority="797">
      <formula>G203&gt;=15</formula>
    </cfRule>
  </conditionalFormatting>
  <conditionalFormatting sqref="F221:G221">
    <cfRule type="expression" dxfId="390" priority="796">
      <formula>G203&gt;=15</formula>
    </cfRule>
  </conditionalFormatting>
  <conditionalFormatting sqref="J201:N202">
    <cfRule type="expression" dxfId="389" priority="753">
      <formula>J201&lt;&gt;""</formula>
    </cfRule>
  </conditionalFormatting>
  <conditionalFormatting sqref="CA117">
    <cfRule type="expression" dxfId="388" priority="752">
      <formula>P120&lt;&gt;""</formula>
    </cfRule>
  </conditionalFormatting>
  <conditionalFormatting sqref="CA154">
    <cfRule type="expression" dxfId="387" priority="751">
      <formula>P157&lt;&gt;""</formula>
    </cfRule>
  </conditionalFormatting>
  <conditionalFormatting sqref="CA192">
    <cfRule type="expression" dxfId="386" priority="750">
      <formula>P195&lt;&gt;""</formula>
    </cfRule>
  </conditionalFormatting>
  <conditionalFormatting sqref="C248:G248">
    <cfRule type="expression" dxfId="385" priority="2388">
      <formula>#REF!&gt;=1</formula>
    </cfRule>
  </conditionalFormatting>
  <conditionalFormatting sqref="J43">
    <cfRule type="expression" dxfId="384" priority="2390">
      <formula>AND(G44&lt;&gt;"",G44=0)</formula>
    </cfRule>
  </conditionalFormatting>
  <conditionalFormatting sqref="Q112:W116">
    <cfRule type="expression" dxfId="383" priority="749">
      <formula>P100&lt;&gt;""</formula>
    </cfRule>
  </conditionalFormatting>
  <conditionalFormatting sqref="Q102:R102">
    <cfRule type="expression" dxfId="382" priority="748">
      <formula>$P$100&lt;&gt;""</formula>
    </cfRule>
  </conditionalFormatting>
  <conditionalFormatting sqref="Z103:AF103">
    <cfRule type="expression" dxfId="381" priority="747">
      <formula>Z102="No"</formula>
    </cfRule>
  </conditionalFormatting>
  <conditionalFormatting sqref="Z105:AA105">
    <cfRule type="expression" dxfId="380" priority="746">
      <formula>Z102="Yes"</formula>
    </cfRule>
  </conditionalFormatting>
  <conditionalFormatting sqref="Z107:AF111">
    <cfRule type="expression" dxfId="379" priority="745">
      <formula>Z102="Yes"</formula>
    </cfRule>
  </conditionalFormatting>
  <conditionalFormatting sqref="AI102:AO116">
    <cfRule type="expression" dxfId="378" priority="744">
      <formula>$P$100&lt;&gt;""</formula>
    </cfRule>
  </conditionalFormatting>
  <conditionalFormatting sqref="AR102:AX116">
    <cfRule type="expression" dxfId="377" priority="743">
      <formula>P100&lt;&gt;""</formula>
    </cfRule>
  </conditionalFormatting>
  <conditionalFormatting sqref="BA102">
    <cfRule type="expression" dxfId="376" priority="742">
      <formula>P100&lt;&gt;""</formula>
    </cfRule>
  </conditionalFormatting>
  <conditionalFormatting sqref="BM99:BQ99">
    <cfRule type="expression" dxfId="375" priority="741">
      <formula>P102&lt;&gt;""</formula>
    </cfRule>
  </conditionalFormatting>
  <conditionalFormatting sqref="D421:M421">
    <cfRule type="expression" dxfId="374" priority="683">
      <formula>D421&lt;&gt;""</formula>
    </cfRule>
  </conditionalFormatting>
  <conditionalFormatting sqref="O14">
    <cfRule type="expression" dxfId="373" priority="2393">
      <formula>P14=1</formula>
    </cfRule>
  </conditionalFormatting>
  <conditionalFormatting sqref="H207:H216">
    <cfRule type="expression" dxfId="372" priority="681">
      <formula>G203&gt;=1</formula>
    </cfRule>
  </conditionalFormatting>
  <conditionalFormatting sqref="H208">
    <cfRule type="expression" dxfId="371" priority="647">
      <formula>H208="Yes"</formula>
    </cfRule>
    <cfRule type="expression" dxfId="370" priority="648">
      <formula>H208="No"</formula>
    </cfRule>
    <cfRule type="expression" dxfId="369" priority="680">
      <formula>G203&gt;=2</formula>
    </cfRule>
  </conditionalFormatting>
  <conditionalFormatting sqref="H221">
    <cfRule type="expression" dxfId="368" priority="621">
      <formula>H221="Yes"</formula>
    </cfRule>
    <cfRule type="expression" dxfId="367" priority="634">
      <formula>H221="No"</formula>
    </cfRule>
    <cfRule type="expression" dxfId="366" priority="679">
      <formula>G203&gt;=15</formula>
    </cfRule>
  </conditionalFormatting>
  <conditionalFormatting sqref="H220">
    <cfRule type="expression" dxfId="365" priority="622">
      <formula>H220="Yes"</formula>
    </cfRule>
    <cfRule type="expression" dxfId="364" priority="635">
      <formula>H220="No"</formula>
    </cfRule>
    <cfRule type="expression" dxfId="363" priority="678">
      <formula>G203&gt;=14</formula>
    </cfRule>
  </conditionalFormatting>
  <conditionalFormatting sqref="H219">
    <cfRule type="expression" dxfId="362" priority="623">
      <formula>H219="Yes"</formula>
    </cfRule>
    <cfRule type="expression" dxfId="361" priority="636">
      <formula>H219="No"</formula>
    </cfRule>
    <cfRule type="expression" dxfId="360" priority="677">
      <formula>G203&gt;=13</formula>
    </cfRule>
  </conditionalFormatting>
  <conditionalFormatting sqref="H218">
    <cfRule type="expression" dxfId="359" priority="624">
      <formula>H218="Yes"</formula>
    </cfRule>
    <cfRule type="expression" dxfId="358" priority="637">
      <formula>H218="No"</formula>
    </cfRule>
    <cfRule type="expression" dxfId="357" priority="676">
      <formula>G203&gt;=12</formula>
    </cfRule>
  </conditionalFormatting>
  <conditionalFormatting sqref="H217">
    <cfRule type="expression" dxfId="356" priority="625">
      <formula>H217="Yes"</formula>
    </cfRule>
    <cfRule type="expression" dxfId="355" priority="638">
      <formula>H217="No"</formula>
    </cfRule>
    <cfRule type="expression" dxfId="354" priority="675">
      <formula>G203&gt;=11</formula>
    </cfRule>
  </conditionalFormatting>
  <conditionalFormatting sqref="H216">
    <cfRule type="expression" dxfId="353" priority="626">
      <formula>H216="Yes"</formula>
    </cfRule>
    <cfRule type="expression" dxfId="352" priority="639">
      <formula>H216="No"</formula>
    </cfRule>
    <cfRule type="expression" dxfId="351" priority="674">
      <formula>G203&gt;=10</formula>
    </cfRule>
  </conditionalFormatting>
  <conditionalFormatting sqref="H215">
    <cfRule type="expression" dxfId="350" priority="627">
      <formula>H215="Yes"</formula>
    </cfRule>
    <cfRule type="expression" dxfId="349" priority="640">
      <formula>H215="No"</formula>
    </cfRule>
    <cfRule type="expression" dxfId="348" priority="673">
      <formula>G203&gt;=9</formula>
    </cfRule>
  </conditionalFormatting>
  <conditionalFormatting sqref="H214">
    <cfRule type="expression" dxfId="347" priority="628">
      <formula>H214="Yes"</formula>
    </cfRule>
    <cfRule type="expression" dxfId="346" priority="641">
      <formula>H214="No"</formula>
    </cfRule>
    <cfRule type="expression" dxfId="345" priority="672">
      <formula>G203&gt;=8</formula>
    </cfRule>
  </conditionalFormatting>
  <conditionalFormatting sqref="H213">
    <cfRule type="expression" dxfId="344" priority="629">
      <formula>H213="Yes"</formula>
    </cfRule>
    <cfRule type="expression" dxfId="343" priority="642">
      <formula>H213="No"</formula>
    </cfRule>
    <cfRule type="expression" dxfId="342" priority="671">
      <formula>G203&gt;=7</formula>
    </cfRule>
  </conditionalFormatting>
  <conditionalFormatting sqref="H212">
    <cfRule type="expression" dxfId="341" priority="630">
      <formula>H212="Yes"</formula>
    </cfRule>
    <cfRule type="expression" dxfId="340" priority="643">
      <formula>H212="No"</formula>
    </cfRule>
    <cfRule type="expression" dxfId="339" priority="670">
      <formula>G203&gt;=6</formula>
    </cfRule>
  </conditionalFormatting>
  <conditionalFormatting sqref="H211">
    <cfRule type="expression" dxfId="338" priority="631">
      <formula>H211="Yes"</formula>
    </cfRule>
    <cfRule type="expression" dxfId="337" priority="644">
      <formula>H211="No"</formula>
    </cfRule>
    <cfRule type="expression" dxfId="336" priority="669">
      <formula>G203&gt;=5</formula>
    </cfRule>
  </conditionalFormatting>
  <conditionalFormatting sqref="H210">
    <cfRule type="expression" dxfId="335" priority="632">
      <formula>H210="Yes"</formula>
    </cfRule>
    <cfRule type="expression" dxfId="334" priority="645">
      <formula>H210="No"</formula>
    </cfRule>
    <cfRule type="expression" dxfId="333" priority="668">
      <formula>G203&gt;=4</formula>
    </cfRule>
  </conditionalFormatting>
  <conditionalFormatting sqref="H209">
    <cfRule type="expression" dxfId="332" priority="633">
      <formula>H209="Yes"</formula>
    </cfRule>
    <cfRule type="expression" dxfId="331" priority="646">
      <formula>H209="No"</formula>
    </cfRule>
    <cfRule type="expression" dxfId="330" priority="667">
      <formula>G203&gt;=3</formula>
    </cfRule>
  </conditionalFormatting>
  <conditionalFormatting sqref="O44">
    <cfRule type="expression" dxfId="329" priority="666">
      <formula>P44=1</formula>
    </cfRule>
  </conditionalFormatting>
  <conditionalFormatting sqref="O66">
    <cfRule type="expression" dxfId="328" priority="665">
      <formula>P66=1</formula>
    </cfRule>
  </conditionalFormatting>
  <conditionalFormatting sqref="O61">
    <cfRule type="expression" dxfId="327" priority="664">
      <formula>P61=1</formula>
    </cfRule>
  </conditionalFormatting>
  <conditionalFormatting sqref="O60">
    <cfRule type="expression" dxfId="326" priority="663">
      <formula>P60=1</formula>
    </cfRule>
  </conditionalFormatting>
  <conditionalFormatting sqref="O59">
    <cfRule type="expression" dxfId="325" priority="662">
      <formula>P59=1</formula>
    </cfRule>
  </conditionalFormatting>
  <conditionalFormatting sqref="O56">
    <cfRule type="expression" dxfId="324" priority="661">
      <formula>Q55=1</formula>
    </cfRule>
  </conditionalFormatting>
  <conditionalFormatting sqref="O55">
    <cfRule type="expression" dxfId="323" priority="660">
      <formula>P55=1</formula>
    </cfRule>
  </conditionalFormatting>
  <conditionalFormatting sqref="O54">
    <cfRule type="expression" dxfId="322" priority="659">
      <formula>P54=1</formula>
    </cfRule>
  </conditionalFormatting>
  <conditionalFormatting sqref="O28">
    <cfRule type="expression" dxfId="321" priority="658">
      <formula>P28=1</formula>
    </cfRule>
  </conditionalFormatting>
  <conditionalFormatting sqref="O16">
    <cfRule type="expression" dxfId="320" priority="657">
      <formula>P16=1</formula>
    </cfRule>
  </conditionalFormatting>
  <conditionalFormatting sqref="O18">
    <cfRule type="expression" dxfId="319" priority="656">
      <formula>P18=1</formula>
    </cfRule>
  </conditionalFormatting>
  <conditionalFormatting sqref="O21">
    <cfRule type="expression" dxfId="318" priority="655">
      <formula>P21=1</formula>
    </cfRule>
  </conditionalFormatting>
  <conditionalFormatting sqref="O409">
    <cfRule type="expression" dxfId="317" priority="654">
      <formula>P409=1</formula>
    </cfRule>
  </conditionalFormatting>
  <conditionalFormatting sqref="O411">
    <cfRule type="expression" dxfId="316" priority="653">
      <formula>P411=1</formula>
    </cfRule>
  </conditionalFormatting>
  <conditionalFormatting sqref="O25">
    <cfRule type="expression" dxfId="315" priority="652">
      <formula>P25=1</formula>
    </cfRule>
  </conditionalFormatting>
  <conditionalFormatting sqref="H207">
    <cfRule type="expression" dxfId="314" priority="694">
      <formula>H207="No"</formula>
    </cfRule>
    <cfRule type="expression" dxfId="313" priority="695">
      <formula>H207="Yes"</formula>
    </cfRule>
  </conditionalFormatting>
  <conditionalFormatting sqref="O108">
    <cfRule type="expression" dxfId="312" priority="620">
      <formula>P108=1</formula>
    </cfRule>
  </conditionalFormatting>
  <conditionalFormatting sqref="O109">
    <cfRule type="expression" dxfId="311" priority="619">
      <formula>P109=1</formula>
    </cfRule>
  </conditionalFormatting>
  <conditionalFormatting sqref="O111">
    <cfRule type="expression" dxfId="310" priority="618">
      <formula>P110=1</formula>
    </cfRule>
  </conditionalFormatting>
  <conditionalFormatting sqref="O127">
    <cfRule type="expression" dxfId="309" priority="617">
      <formula>O127&lt;&gt;""</formula>
    </cfRule>
  </conditionalFormatting>
  <conditionalFormatting sqref="O149">
    <cfRule type="expression" dxfId="308" priority="616">
      <formula>P149=1</formula>
    </cfRule>
  </conditionalFormatting>
  <conditionalFormatting sqref="B67:N67">
    <cfRule type="expression" dxfId="307" priority="608">
      <formula>AND(N66&gt;=0.7,B67&lt;&gt;"")</formula>
    </cfRule>
    <cfRule type="expression" dxfId="306" priority="609">
      <formula>AND(N66&lt;0.7,B67&lt;&gt;"")</formula>
    </cfRule>
  </conditionalFormatting>
  <conditionalFormatting sqref="E187">
    <cfRule type="expression" dxfId="305" priority="1422">
      <formula>AND(E187&lt;100%,E187&lt;&gt;"",B189="")</formula>
    </cfRule>
    <cfRule type="expression" dxfId="304" priority="1452">
      <formula>AND($E$187=100%,$B$189="")</formula>
    </cfRule>
  </conditionalFormatting>
  <conditionalFormatting sqref="F187">
    <cfRule type="expression" dxfId="303" priority="599">
      <formula>AND(F187&lt;100%,F187&lt;&gt;"",B189="")</formula>
    </cfRule>
    <cfRule type="expression" dxfId="302" priority="607">
      <formula>AND($F$187=100%,$B$189="")</formula>
    </cfRule>
  </conditionalFormatting>
  <conditionalFormatting sqref="G187">
    <cfRule type="expression" dxfId="301" priority="598">
      <formula>AND(G187&lt;100%,G187&lt;&gt;"",B189="")</formula>
    </cfRule>
    <cfRule type="expression" dxfId="300" priority="606">
      <formula>AND($G$187=100%,$B$189="")</formula>
    </cfRule>
  </conditionalFormatting>
  <conditionalFormatting sqref="H187">
    <cfRule type="expression" dxfId="299" priority="597">
      <formula>AND(H187&lt;100%,H187&lt;&gt;"",B189="")</formula>
    </cfRule>
    <cfRule type="expression" dxfId="298" priority="605">
      <formula>AND($H$187=100%,$B$189="")</formula>
    </cfRule>
  </conditionalFormatting>
  <conditionalFormatting sqref="I187">
    <cfRule type="expression" dxfId="297" priority="596">
      <formula>AND(I187&lt;100%,I187&lt;&gt;"",B189="")</formula>
    </cfRule>
    <cfRule type="expression" dxfId="296" priority="604">
      <formula>AND($I$187=100%,$B$189="")</formula>
    </cfRule>
  </conditionalFormatting>
  <conditionalFormatting sqref="J187">
    <cfRule type="expression" dxfId="295" priority="595">
      <formula>AND(J187&lt;100%,J187&lt;&gt;"",B189="")</formula>
    </cfRule>
    <cfRule type="expression" dxfId="294" priority="603">
      <formula>AND($J$187=100%,$B$189="")</formula>
    </cfRule>
  </conditionalFormatting>
  <conditionalFormatting sqref="K187">
    <cfRule type="expression" dxfId="293" priority="594">
      <formula>AND(K187&lt;100%,K187&lt;&gt;"",B189="")</formula>
    </cfRule>
    <cfRule type="expression" dxfId="292" priority="602">
      <formula>AND($K$187=100%,$B$189="")</formula>
    </cfRule>
  </conditionalFormatting>
  <conditionalFormatting sqref="L187">
    <cfRule type="expression" dxfId="291" priority="593">
      <formula>AND(L187&lt;100%,L187&lt;&gt;"",B189="")</formula>
    </cfRule>
    <cfRule type="expression" dxfId="290" priority="601">
      <formula>AND($L$187=100%,$B$189="")</formula>
    </cfRule>
  </conditionalFormatting>
  <conditionalFormatting sqref="M187">
    <cfRule type="expression" dxfId="289" priority="592">
      <formula>AND(M187&lt;100%,M187&lt;&gt;"",B189="")</formula>
    </cfRule>
    <cfRule type="expression" dxfId="288" priority="600">
      <formula>AND($M$187=100%,$B$189="")</formula>
    </cfRule>
  </conditionalFormatting>
  <conditionalFormatting sqref="O166">
    <cfRule type="expression" dxfId="287" priority="591">
      <formula>O189&lt;&gt;""</formula>
    </cfRule>
  </conditionalFormatting>
  <conditionalFormatting sqref="O187">
    <cfRule type="expression" dxfId="286" priority="590">
      <formula>O187&lt;&gt;""</formula>
    </cfRule>
  </conditionalFormatting>
  <conditionalFormatting sqref="O201">
    <cfRule type="expression" dxfId="285" priority="589">
      <formula>O201&lt;&gt;""</formula>
    </cfRule>
  </conditionalFormatting>
  <conditionalFormatting sqref="O231">
    <cfRule type="expression" dxfId="284" priority="588">
      <formula>O231&lt;&gt;""</formula>
    </cfRule>
  </conditionalFormatting>
  <conditionalFormatting sqref="O385">
    <cfRule type="expression" dxfId="283" priority="587">
      <formula>O385&lt;&gt;""</formula>
    </cfRule>
  </conditionalFormatting>
  <conditionalFormatting sqref="O387">
    <cfRule type="expression" dxfId="282" priority="586">
      <formula>O387&lt;&gt;""</formula>
    </cfRule>
  </conditionalFormatting>
  <conditionalFormatting sqref="O415">
    <cfRule type="expression" dxfId="281" priority="585">
      <formula>O415&lt;&gt;""</formula>
    </cfRule>
  </conditionalFormatting>
  <conditionalFormatting sqref="O74">
    <cfRule type="expression" dxfId="280" priority="584">
      <formula>O74&lt;&gt;""</formula>
    </cfRule>
  </conditionalFormatting>
  <conditionalFormatting sqref="O76">
    <cfRule type="expression" dxfId="279" priority="583">
      <formula>O76&lt;&gt;""</formula>
    </cfRule>
  </conditionalFormatting>
  <conditionalFormatting sqref="E85">
    <cfRule type="expression" dxfId="278" priority="268">
      <formula>AND(E87&gt;E85,B91&lt;&gt;"")</formula>
    </cfRule>
    <cfRule type="expression" dxfId="277" priority="548">
      <formula>AND($D$4&lt;&gt;YEAR($E$51), $E$51&lt;&gt;0)</formula>
    </cfRule>
  </conditionalFormatting>
  <conditionalFormatting sqref="F85">
    <cfRule type="expression" dxfId="276" priority="258">
      <formula>AND(F87&gt;F85,B91&lt;&gt;"")</formula>
    </cfRule>
    <cfRule type="expression" dxfId="275" priority="519">
      <formula>AND($D$4&lt;&gt;YEAR($F$51), $F$51&lt;&gt;0)</formula>
    </cfRule>
  </conditionalFormatting>
  <conditionalFormatting sqref="G85">
    <cfRule type="expression" dxfId="274" priority="257">
      <formula>AND(G87&gt;G85,B91&lt;&gt;"")</formula>
    </cfRule>
    <cfRule type="expression" dxfId="273" priority="546">
      <formula>AND($D$4&lt;&gt;YEAR($G$51), $G$51&lt;&gt;0)</formula>
    </cfRule>
  </conditionalFormatting>
  <conditionalFormatting sqref="H85">
    <cfRule type="expression" dxfId="272" priority="256">
      <formula>AND(H87&gt;H85,B91&lt;&gt;"")</formula>
    </cfRule>
    <cfRule type="expression" dxfId="271" priority="545">
      <formula>AND($D$4&lt;&gt;YEAR($H$51), $H$51&lt;&gt;0)</formula>
    </cfRule>
  </conditionalFormatting>
  <conditionalFormatting sqref="I85">
    <cfRule type="expression" dxfId="270" priority="255">
      <formula>AND(I87&gt;I85,B91&lt;&gt;"")</formula>
    </cfRule>
    <cfRule type="expression" dxfId="269" priority="341">
      <formula>AND($D$4&lt;&gt;YEAR($I$51), $I$51&lt;&gt;0)</formula>
    </cfRule>
  </conditionalFormatting>
  <conditionalFormatting sqref="J85">
    <cfRule type="expression" dxfId="268" priority="254">
      <formula>AND(J87&gt;J85,B91&lt;&gt;"")</formula>
    </cfRule>
    <cfRule type="expression" dxfId="267" priority="543">
      <formula>AND($D$4&lt;&gt;YEAR($J$51), $J$51&lt;&gt;0)</formula>
    </cfRule>
  </conditionalFormatting>
  <conditionalFormatting sqref="K85">
    <cfRule type="expression" dxfId="266" priority="253">
      <formula>AND(K87&gt;K85,B91&lt;&gt;"")</formula>
    </cfRule>
    <cfRule type="expression" dxfId="265" priority="339">
      <formula>AND($D$4&lt;&gt;YEAR($K$51), $K$51&lt;&gt;0)</formula>
    </cfRule>
  </conditionalFormatting>
  <conditionalFormatting sqref="L85">
    <cfRule type="expression" dxfId="264" priority="252">
      <formula>AND(L87&gt;L85,B91&lt;&gt;"")</formula>
    </cfRule>
    <cfRule type="expression" dxfId="263" priority="338">
      <formula>AND($D$4&lt;&gt;YEAR($L$51), $L$51&lt;&gt;0)</formula>
    </cfRule>
  </conditionalFormatting>
  <conditionalFormatting sqref="M85">
    <cfRule type="expression" dxfId="262" priority="251">
      <formula>AND(M87&gt;M85,B91&lt;&gt;"")</formula>
    </cfRule>
    <cfRule type="expression" dxfId="261" priority="540">
      <formula>AND($D$4&lt;&gt;YEAR($M$51), $M$51&lt;&gt;0)</formula>
    </cfRule>
  </conditionalFormatting>
  <conditionalFormatting sqref="E87">
    <cfRule type="expression" dxfId="260" priority="522">
      <formula>AND($D$4&lt;&gt;YEAR($F$51), $F$51&lt;&gt;0)</formula>
    </cfRule>
  </conditionalFormatting>
  <conditionalFormatting sqref="F87">
    <cfRule type="expression" dxfId="259" priority="274">
      <formula>AND(F86&gt;F87,F86&lt;&gt;"",F87&lt;&gt;"")</formula>
    </cfRule>
    <cfRule type="expression" dxfId="258" priority="509">
      <formula>AND($D$4&lt;&gt;YEAR($F$51), $F$51&lt;&gt;0)</formula>
    </cfRule>
  </conditionalFormatting>
  <conditionalFormatting sqref="BR97">
    <cfRule type="expression" dxfId="257" priority="2416">
      <formula>T100&lt;&gt;""</formula>
    </cfRule>
  </conditionalFormatting>
  <conditionalFormatting sqref="E111">
    <cfRule type="expression" dxfId="256" priority="1712" stopIfTrue="1">
      <formula>AND($E$111&gt;=0.7,$E$111&lt;=100%,$B$113="")</formula>
    </cfRule>
    <cfRule type="expression" dxfId="255" priority="1723" stopIfTrue="1">
      <formula>AND($E$111&lt;0.7,$E$108&lt;&gt;"",$E$109&lt;&gt;"",$B$113="")</formula>
    </cfRule>
  </conditionalFormatting>
  <conditionalFormatting sqref="F111">
    <cfRule type="expression" dxfId="254" priority="177">
      <formula>AND($F$111&gt;100%,$F$110&lt;&gt;"")</formula>
    </cfRule>
    <cfRule type="expression" dxfId="253" priority="363">
      <formula>AND($F$111&gt;=0.7,$F$111&lt;=100%,$B$113="")</formula>
    </cfRule>
    <cfRule type="expression" dxfId="252" priority="371">
      <formula>AND($F$111&lt;0.7,$F$108&lt;&gt;"",$F$109&lt;&gt;"",$B$113="")</formula>
    </cfRule>
  </conditionalFormatting>
  <conditionalFormatting sqref="G111">
    <cfRule type="expression" dxfId="251" priority="176">
      <formula>AND($G$111&gt;100%,$G$110&lt;&gt;"")</formula>
    </cfRule>
    <cfRule type="expression" dxfId="250" priority="362">
      <formula>AND($G$111&gt;=0.7,$G$111&lt;=100%,$B$113="")</formula>
    </cfRule>
    <cfRule type="expression" dxfId="249" priority="370">
      <formula>AND($G$111&lt;0.7,$G$108&lt;&gt;"",$G$109&lt;&gt;"",$B$113="")</formula>
    </cfRule>
  </conditionalFormatting>
  <conditionalFormatting sqref="H111">
    <cfRule type="expression" dxfId="248" priority="175">
      <formula>AND($H$111&gt;100%,$H$110&lt;&gt;"")</formula>
    </cfRule>
    <cfRule type="expression" dxfId="247" priority="361">
      <formula>AND($H$111&gt;=0.7,$H$111&lt;=100%,$B$113="")</formula>
    </cfRule>
    <cfRule type="expression" dxfId="246" priority="369">
      <formula>AND($H$111&lt;0.7,$H$108&lt;&gt;"",$H$109&lt;&gt;"",$B$113="")</formula>
    </cfRule>
  </conditionalFormatting>
  <conditionalFormatting sqref="I111">
    <cfRule type="expression" dxfId="245" priority="174">
      <formula>AND($I$111&gt;100%,$I$110&lt;&gt;"")</formula>
    </cfRule>
    <cfRule type="expression" dxfId="244" priority="360">
      <formula>AND($I$111&gt;=0.7,$I$111&lt;=100%,$B$113="")</formula>
    </cfRule>
    <cfRule type="expression" dxfId="243" priority="368">
      <formula>AND($I$111&lt;0.7,$I$108&lt;&gt;"",$I$109&lt;&gt;"",$B$113="")</formula>
    </cfRule>
  </conditionalFormatting>
  <conditionalFormatting sqref="J111">
    <cfRule type="expression" dxfId="242" priority="173">
      <formula>AND($J$111&gt;100%,$J$110&lt;&gt;"")</formula>
    </cfRule>
    <cfRule type="expression" dxfId="241" priority="359">
      <formula>AND($J$111&gt;=0.7,$J$111&lt;=100%,$B$113="")</formula>
    </cfRule>
    <cfRule type="expression" dxfId="240" priority="367">
      <formula>AND($J$111&lt;0.7,$J$108&lt;&gt;"",$J$109&lt;&gt;"",$B$113="")</formula>
    </cfRule>
  </conditionalFormatting>
  <conditionalFormatting sqref="K111">
    <cfRule type="expression" dxfId="239" priority="172">
      <formula>AND($K$111&gt;100%,$K$110&lt;&gt;"")</formula>
    </cfRule>
    <cfRule type="expression" dxfId="238" priority="358">
      <formula>AND($K$111&gt;=0.7,$K$111&lt;=100%,$B$113="")</formula>
    </cfRule>
    <cfRule type="expression" dxfId="237" priority="366">
      <formula>AND($K$111&lt;0.7,$K$108&lt;&gt;"",$K$109&lt;&gt;"",$B$113="")</formula>
    </cfRule>
  </conditionalFormatting>
  <conditionalFormatting sqref="L111">
    <cfRule type="expression" dxfId="236" priority="171">
      <formula>AND($L$111&gt;100%,$L$110&lt;&gt;"")</formula>
    </cfRule>
    <cfRule type="expression" dxfId="235" priority="357">
      <formula>AND($L$111&gt;=0.7,$L$111&lt;=100%,$B$113="")</formula>
    </cfRule>
    <cfRule type="expression" dxfId="234" priority="365">
      <formula>AND($L$111&lt;0.7,$L$108&lt;&gt;"",$L$109&lt;&gt;"",$B$113="")</formula>
    </cfRule>
  </conditionalFormatting>
  <conditionalFormatting sqref="M111">
    <cfRule type="expression" dxfId="233" priority="170">
      <formula>AND($M$111&gt;100%,$M$110&lt;&gt;"")</formula>
    </cfRule>
    <cfRule type="expression" dxfId="232" priority="356">
      <formula>AND($M$111&gt;=0.7,$M$111&lt;=100%,$B$113="")</formula>
    </cfRule>
    <cfRule type="expression" dxfId="231" priority="364">
      <formula>AND($M$111&lt;0.7,$M$108&lt;&gt;"",$M$109&lt;&gt;"",$B$113="")</formula>
    </cfRule>
  </conditionalFormatting>
  <conditionalFormatting sqref="G89">
    <cfRule type="expression" dxfId="230" priority="335">
      <formula>AND($G$89&gt;=0.7,$G$89&lt;=100%,G89&lt;&gt;0,$B$91="")</formula>
    </cfRule>
    <cfRule type="expression" dxfId="229" priority="351">
      <formula>AND($G$89&lt;0.7,$G$86&lt;&gt;"",$G$87&lt;&gt;"",$B$91="")</formula>
    </cfRule>
  </conditionalFormatting>
  <conditionalFormatting sqref="H89">
    <cfRule type="expression" dxfId="228" priority="334">
      <formula>AND($H$89&gt;=0.7,$H$89&lt;=100%,H89&lt;&gt;0,$B$91="")</formula>
    </cfRule>
    <cfRule type="expression" dxfId="227" priority="350">
      <formula>AND($H$89&lt;0.7,$H$86&lt;&gt;"",$H$87&lt;&gt;"",$B$91="")</formula>
    </cfRule>
  </conditionalFormatting>
  <conditionalFormatting sqref="I89">
    <cfRule type="expression" dxfId="226" priority="333">
      <formula>AND($I$89&gt;=0.7,$I$89&lt;=100%,I89&lt;&gt;0,$B$91="")</formula>
    </cfRule>
    <cfRule type="expression" dxfId="225" priority="349">
      <formula>AND($I$89&lt;0.7,$I$86&lt;&gt;"",$I$87&lt;&gt;"",$B$91="")</formula>
    </cfRule>
  </conditionalFormatting>
  <conditionalFormatting sqref="J89">
    <cfRule type="expression" dxfId="224" priority="332">
      <formula>AND($J$89&gt;=0.7,$J$89&lt;=100%,J89&lt;&gt;0,$B$91="")</formula>
    </cfRule>
    <cfRule type="expression" dxfId="223" priority="348">
      <formula>AND($J$89&lt;0.7,$J$86&lt;&gt;"",$J$87&lt;&gt;"",$B$91="")</formula>
    </cfRule>
  </conditionalFormatting>
  <conditionalFormatting sqref="K89">
    <cfRule type="expression" dxfId="222" priority="331">
      <formula>AND($K$89&gt;=0.7,$K$89&lt;=100%,K89&lt;&gt;0,$B$91="")</formula>
    </cfRule>
    <cfRule type="expression" dxfId="221" priority="347">
      <formula>AND($K$89&lt;0.7,$K$86&lt;&gt;"",$K$87&lt;&gt;"",$B$91="")</formula>
    </cfRule>
  </conditionalFormatting>
  <conditionalFormatting sqref="L89">
    <cfRule type="expression" dxfId="220" priority="330">
      <formula>AND($L$89&gt;=0.7,$L$89&lt;=100%,L89&lt;&gt;0,$B$91="")</formula>
    </cfRule>
    <cfRule type="expression" dxfId="219" priority="346">
      <formula>AND($L$89&lt;0.7,$L$86&lt;&gt;"",$L$87&lt;&gt;"",$B$91="")</formula>
    </cfRule>
  </conditionalFormatting>
  <conditionalFormatting sqref="M89">
    <cfRule type="expression" dxfId="218" priority="329">
      <formula>AND($M$89&gt;=0.7,$M$89&lt;=100%,M89&lt;&gt;0,$B$91="")</formula>
    </cfRule>
    <cfRule type="expression" dxfId="217" priority="345">
      <formula>AND($M$89&lt;0.7,$M$86&lt;&gt;"",$M$87&lt;&gt;"",$B$91="")</formula>
    </cfRule>
  </conditionalFormatting>
  <conditionalFormatting sqref="O77">
    <cfRule type="expression" dxfId="216" priority="302">
      <formula>O77&lt;&gt;""</formula>
    </cfRule>
  </conditionalFormatting>
  <conditionalFormatting sqref="G77:H77">
    <cfRule type="expression" dxfId="215" priority="297">
      <formula>AND($G$74="No",$G$77="")</formula>
    </cfRule>
    <cfRule type="expression" dxfId="214" priority="301">
      <formula>G74="No"</formula>
    </cfRule>
  </conditionalFormatting>
  <conditionalFormatting sqref="B90:C90">
    <cfRule type="expression" dxfId="213" priority="300">
      <formula>AND(N88="",N89="",B90&lt;&gt;"")</formula>
    </cfRule>
  </conditionalFormatting>
  <conditionalFormatting sqref="G74:H75">
    <cfRule type="expression" dxfId="212" priority="298">
      <formula>$G$74="Please Select"</formula>
    </cfRule>
  </conditionalFormatting>
  <conditionalFormatting sqref="E89:M89">
    <cfRule type="expression" dxfId="211" priority="1935" stopIfTrue="1">
      <formula>AND(E$89&gt;=0.7,E$89&lt;=100%,$B$91="")</formula>
    </cfRule>
    <cfRule type="expression" dxfId="210" priority="2223" stopIfTrue="1">
      <formula>AND(E$89&lt;0.7,E$85&lt;&gt;"",E$86&lt;&gt;"",E$87&lt;&gt;"",$B$91="")</formula>
    </cfRule>
  </conditionalFormatting>
  <conditionalFormatting sqref="C402:G406">
    <cfRule type="expression" dxfId="209" priority="283">
      <formula>G$399="Yes"</formula>
    </cfRule>
  </conditionalFormatting>
  <conditionalFormatting sqref="O397">
    <cfRule type="expression" dxfId="208" priority="282">
      <formula>O397&lt;&gt;""</formula>
    </cfRule>
  </conditionalFormatting>
  <conditionalFormatting sqref="O399">
    <cfRule type="expression" dxfId="207" priority="281">
      <formula>O399&lt;&gt;""</formula>
    </cfRule>
  </conditionalFormatting>
  <conditionalFormatting sqref="G87">
    <cfRule type="expression" dxfId="206" priority="272">
      <formula>"AND(G85&gt;G86,G85&lt;&gt;"""",G86&lt;&gt;"""")"</formula>
    </cfRule>
  </conditionalFormatting>
  <conditionalFormatting sqref="E86">
    <cfRule type="expression" dxfId="205" priority="269">
      <formula>AND(E86&lt;&gt;"",E87&lt;&gt;"",E86&gt;E87,B91&lt;&gt;"")</formula>
    </cfRule>
  </conditionalFormatting>
  <conditionalFormatting sqref="E84">
    <cfRule type="expression" dxfId="204" priority="267">
      <formula>AND(E84&lt;E85,B91&lt;&gt;"")</formula>
    </cfRule>
  </conditionalFormatting>
  <conditionalFormatting sqref="F84">
    <cfRule type="expression" dxfId="203" priority="266">
      <formula>AND(F84&lt;F85,B91&lt;&gt;"")</formula>
    </cfRule>
  </conditionalFormatting>
  <conditionalFormatting sqref="G84">
    <cfRule type="expression" dxfId="202" priority="265">
      <formula>AND(G84&lt;G85,B91&lt;&gt;"")</formula>
    </cfRule>
  </conditionalFormatting>
  <conditionalFormatting sqref="H84">
    <cfRule type="expression" dxfId="201" priority="264">
      <formula>AND(H84&lt;H85,B91&lt;&gt;"")</formula>
    </cfRule>
  </conditionalFormatting>
  <conditionalFormatting sqref="I84">
    <cfRule type="expression" dxfId="200" priority="263">
      <formula>AND(I84&lt;I85,B91&lt;&gt;"")</formula>
    </cfRule>
  </conditionalFormatting>
  <conditionalFormatting sqref="J84">
    <cfRule type="expression" dxfId="199" priority="262">
      <formula>AND(J84&lt;J85,B91&lt;&gt;"")</formula>
    </cfRule>
  </conditionalFormatting>
  <conditionalFormatting sqref="K84">
    <cfRule type="expression" dxfId="198" priority="261">
      <formula>AND(K84&lt;K85,B91&lt;&gt;"")</formula>
    </cfRule>
  </conditionalFormatting>
  <conditionalFormatting sqref="L84">
    <cfRule type="expression" dxfId="197" priority="260">
      <formula>AND(L84&lt;L85,B91&lt;&gt;"")</formula>
    </cfRule>
  </conditionalFormatting>
  <conditionalFormatting sqref="M84">
    <cfRule type="expression" dxfId="196" priority="259">
      <formula>AND(M84&lt;M85,B91&lt;&gt;"")</formula>
    </cfRule>
  </conditionalFormatting>
  <conditionalFormatting sqref="F86">
    <cfRule type="expression" dxfId="195" priority="250">
      <formula>AND(F86&lt;&gt;"",F87&lt;&gt;"",F86&gt;F87,B91&lt;&gt;"")</formula>
    </cfRule>
  </conditionalFormatting>
  <conditionalFormatting sqref="G86">
    <cfRule type="expression" dxfId="194" priority="249">
      <formula>AND(G86&lt;&gt;"",G87&lt;&gt;"",G86&gt;G87,B91&lt;&gt;"")</formula>
    </cfRule>
  </conditionalFormatting>
  <conditionalFormatting sqref="H86">
    <cfRule type="expression" dxfId="193" priority="248">
      <formula>AND(H86&lt;&gt;"",H87&lt;&gt;"",H86&gt;H87,B91&lt;&gt;"")</formula>
    </cfRule>
  </conditionalFormatting>
  <conditionalFormatting sqref="I86">
    <cfRule type="expression" dxfId="192" priority="247">
      <formula>AND(I86&lt;&gt;"",I87&lt;&gt;"",I86&gt;I87,B91&lt;&gt;"")</formula>
    </cfRule>
  </conditionalFormatting>
  <conditionalFormatting sqref="J86">
    <cfRule type="expression" dxfId="191" priority="246">
      <formula>AND(J86&lt;&gt;"",J87&lt;&gt;"",J86&gt;J87,B91&lt;&gt;"")</formula>
    </cfRule>
  </conditionalFormatting>
  <conditionalFormatting sqref="K86">
    <cfRule type="expression" dxfId="190" priority="245">
      <formula>AND(K86&lt;&gt;"",K87&lt;&gt;"",K86&gt;K87,B91&lt;&gt;"")</formula>
    </cfRule>
  </conditionalFormatting>
  <conditionalFormatting sqref="L86">
    <cfRule type="expression" dxfId="189" priority="244">
      <formula>AND(L86&lt;&gt;"",L87&lt;&gt;"",L86&gt;L87,B91&lt;&gt;"")</formula>
    </cfRule>
  </conditionalFormatting>
  <conditionalFormatting sqref="M86">
    <cfRule type="expression" dxfId="188" priority="243">
      <formula>AND(M86&lt;&gt;"",M87&lt;&gt;"",M86&gt;M87,B91&lt;&gt;"")</formula>
    </cfRule>
  </conditionalFormatting>
  <conditionalFormatting sqref="AY112">
    <cfRule type="expression" dxfId="187" priority="2485">
      <formula>#REF!="No"</formula>
    </cfRule>
  </conditionalFormatting>
  <conditionalFormatting sqref="BH104">
    <cfRule type="expression" dxfId="186" priority="2486">
      <formula>#REF!="No"</formula>
    </cfRule>
  </conditionalFormatting>
  <conditionalFormatting sqref="BQ103">
    <cfRule type="expression" dxfId="185" priority="2487">
      <formula>#REF!="No"</formula>
    </cfRule>
  </conditionalFormatting>
  <conditionalFormatting sqref="O87">
    <cfRule type="expression" dxfId="184" priority="2489">
      <formula>O87&lt;&gt;""</formula>
    </cfRule>
  </conditionalFormatting>
  <conditionalFormatting sqref="Q78">
    <cfRule type="expression" dxfId="183" priority="211">
      <formula>$P$76&lt;&gt;""</formula>
    </cfRule>
  </conditionalFormatting>
  <conditionalFormatting sqref="Q81:R81">
    <cfRule type="expression" dxfId="182" priority="210">
      <formula>$P$76&lt;&gt;""</formula>
    </cfRule>
  </conditionalFormatting>
  <conditionalFormatting sqref="Q84">
    <cfRule type="expression" dxfId="181" priority="209">
      <formula>$Q$81="No"</formula>
    </cfRule>
  </conditionalFormatting>
  <conditionalFormatting sqref="Q86:R86">
    <cfRule type="expression" dxfId="180" priority="208">
      <formula>$Q$81="Yes"</formula>
    </cfRule>
  </conditionalFormatting>
  <conditionalFormatting sqref="Q88">
    <cfRule type="expression" dxfId="179" priority="207">
      <formula>$Q$81="No"</formula>
    </cfRule>
  </conditionalFormatting>
  <conditionalFormatting sqref="Q89:W93">
    <cfRule type="expression" dxfId="178" priority="206">
      <formula>$Q$81="Yes"</formula>
    </cfRule>
  </conditionalFormatting>
  <conditionalFormatting sqref="Z78:AF82">
    <cfRule type="expression" dxfId="177" priority="205">
      <formula>$Q$81="Yes"</formula>
    </cfRule>
  </conditionalFormatting>
  <conditionalFormatting sqref="Z76">
    <cfRule type="expression" dxfId="176" priority="204">
      <formula>$Q$81="No"</formula>
    </cfRule>
  </conditionalFormatting>
  <conditionalFormatting sqref="Z86:AA86">
    <cfRule type="expression" dxfId="175" priority="202">
      <formula>$P$76&lt;&gt;""</formula>
    </cfRule>
  </conditionalFormatting>
  <conditionalFormatting sqref="Z89">
    <cfRule type="expression" dxfId="174" priority="212">
      <formula>$P$76&lt;&gt;""</formula>
    </cfRule>
  </conditionalFormatting>
  <conditionalFormatting sqref="AI78:AO81">
    <cfRule type="expression" dxfId="173" priority="201">
      <formula>$P$76&lt;&gt;""</formula>
    </cfRule>
  </conditionalFormatting>
  <conditionalFormatting sqref="AI86:AJ86">
    <cfRule type="expression" dxfId="172" priority="200">
      <formula>$P$76&lt;&gt;""</formula>
    </cfRule>
  </conditionalFormatting>
  <conditionalFormatting sqref="AI88 AP88">
    <cfRule type="expression" dxfId="171" priority="199">
      <formula>AI86="Yes"</formula>
    </cfRule>
  </conditionalFormatting>
  <conditionalFormatting sqref="AI89:AO93">
    <cfRule type="expression" dxfId="170" priority="198">
      <formula>AI86="No"</formula>
    </cfRule>
  </conditionalFormatting>
  <conditionalFormatting sqref="AR78:AX82">
    <cfRule type="expression" dxfId="169" priority="197">
      <formula>$P$76&lt;&gt;""</formula>
    </cfRule>
  </conditionalFormatting>
  <conditionalFormatting sqref="AR86:AS86">
    <cfRule type="expression" dxfId="168" priority="196">
      <formula>$P$76&lt;&gt;""</formula>
    </cfRule>
  </conditionalFormatting>
  <conditionalFormatting sqref="AR88 AY88">
    <cfRule type="expression" dxfId="167" priority="195">
      <formula>$AR$86="No"</formula>
    </cfRule>
  </conditionalFormatting>
  <conditionalFormatting sqref="AR89:AX93">
    <cfRule type="expression" dxfId="166" priority="194">
      <formula>AR86="Yes"</formula>
    </cfRule>
  </conditionalFormatting>
  <conditionalFormatting sqref="BA78:BB78">
    <cfRule type="expression" dxfId="165" priority="193">
      <formula>$P$76&lt;&gt;""</formula>
    </cfRule>
  </conditionalFormatting>
  <conditionalFormatting sqref="BA80">
    <cfRule type="expression" dxfId="164" priority="192">
      <formula>$BA$78="No"</formula>
    </cfRule>
  </conditionalFormatting>
  <conditionalFormatting sqref="BA81:BG93">
    <cfRule type="expression" dxfId="163" priority="191">
      <formula>$BA$78="Yes"</formula>
    </cfRule>
  </conditionalFormatting>
  <conditionalFormatting sqref="BJ78:BK78">
    <cfRule type="expression" dxfId="162" priority="190">
      <formula>$P$76&lt;&gt;""</formula>
    </cfRule>
  </conditionalFormatting>
  <conditionalFormatting sqref="BJ80:BP93">
    <cfRule type="expression" dxfId="161" priority="189">
      <formula>$BJ$78="Yes"</formula>
    </cfRule>
  </conditionalFormatting>
  <conditionalFormatting sqref="BJ79">
    <cfRule type="expression" dxfId="160" priority="188">
      <formula>$BJ$78="No"</formula>
    </cfRule>
  </conditionalFormatting>
  <conditionalFormatting sqref="BV78:BW78">
    <cfRule type="expression" dxfId="159" priority="187">
      <formula>$P$76&lt;&gt;""</formula>
    </cfRule>
  </conditionalFormatting>
  <conditionalFormatting sqref="BV79:CE79">
    <cfRule type="expression" dxfId="158" priority="186">
      <formula>$BV$78="No"</formula>
    </cfRule>
  </conditionalFormatting>
  <conditionalFormatting sqref="BV80:CE85">
    <cfRule type="expression" dxfId="157" priority="185">
      <formula>$BV$78="Yes"</formula>
    </cfRule>
  </conditionalFormatting>
  <conditionalFormatting sqref="BV88:CE91">
    <cfRule type="expression" dxfId="156" priority="184">
      <formula>$P$76&lt;&gt;""</formula>
    </cfRule>
  </conditionalFormatting>
  <conditionalFormatting sqref="CA72">
    <cfRule type="expression" dxfId="155" priority="183">
      <formula>P76&lt;&gt;""</formula>
    </cfRule>
  </conditionalFormatting>
  <conditionalFormatting sqref="O85">
    <cfRule type="expression" dxfId="154" priority="182">
      <formula>O85&lt;&gt;""</formula>
    </cfRule>
  </conditionalFormatting>
  <conditionalFormatting sqref="O86">
    <cfRule type="expression" dxfId="153" priority="181">
      <formula>O86&lt;&gt;""</formula>
    </cfRule>
  </conditionalFormatting>
  <conditionalFormatting sqref="O89">
    <cfRule type="expression" dxfId="152" priority="180">
      <formula>O89&lt;&gt;""</formula>
    </cfRule>
  </conditionalFormatting>
  <conditionalFormatting sqref="J73">
    <cfRule type="expression" dxfId="151" priority="179">
      <formula>AND(G74&lt;&gt;"",G74=0)</formula>
    </cfRule>
  </conditionalFormatting>
  <conditionalFormatting sqref="E128">
    <cfRule type="expression" dxfId="150" priority="152">
      <formula>AND($D$4&lt;&gt;YEAR($E$51), $E$51&lt;&gt;0)</formula>
    </cfRule>
  </conditionalFormatting>
  <conditionalFormatting sqref="F128:H128">
    <cfRule type="expression" dxfId="149" priority="168">
      <formula>AND($D$4&lt;&gt;YEAR($F$51), $F$51&lt;&gt;0)</formula>
    </cfRule>
  </conditionalFormatting>
  <conditionalFormatting sqref="I128">
    <cfRule type="expression" dxfId="148" priority="167">
      <formula>AND($D$4&lt;&gt;YEAR($I$51), $I$51&lt;&gt;0)</formula>
    </cfRule>
  </conditionalFormatting>
  <conditionalFormatting sqref="J128">
    <cfRule type="expression" dxfId="147" priority="154">
      <formula>AND($D$4&lt;&gt;YEAR($J$51), $J$51&lt;&gt;0)</formula>
    </cfRule>
  </conditionalFormatting>
  <conditionalFormatting sqref="K128">
    <cfRule type="expression" dxfId="146" priority="166">
      <formula>AND($D$4&lt;&gt;YEAR($K$51), $K$51&lt;&gt;0)</formula>
    </cfRule>
  </conditionalFormatting>
  <conditionalFormatting sqref="L128">
    <cfRule type="expression" dxfId="145" priority="165">
      <formula>AND($D$4&lt;&gt;YEAR($L$51), $L$51&lt;&gt;0)</formula>
    </cfRule>
  </conditionalFormatting>
  <conditionalFormatting sqref="M128">
    <cfRule type="expression" dxfId="144" priority="153">
      <formula>AND($D$4&lt;&gt;YEAR($M$51), $M$51&lt;&gt;0)</formula>
    </cfRule>
  </conditionalFormatting>
  <conditionalFormatting sqref="E128">
    <cfRule type="expression" dxfId="143" priority="164">
      <formula>AND($E$126&lt;&gt;"",$E$127&lt;&gt;"",$E$128&gt;$E$127)</formula>
    </cfRule>
  </conditionalFormatting>
  <conditionalFormatting sqref="F128">
    <cfRule type="expression" dxfId="142" priority="163">
      <formula>AND($F$126&lt;&gt;"",$F$127&lt;&gt;"",$F$128&gt;$F$127)</formula>
    </cfRule>
  </conditionalFormatting>
  <conditionalFormatting sqref="H128">
    <cfRule type="expression" dxfId="141" priority="161">
      <formula>AND($H$126&lt;&gt;"",$H$127&lt;&gt;"",$H$128&gt;$H$127)</formula>
    </cfRule>
  </conditionalFormatting>
  <conditionalFormatting sqref="I128">
    <cfRule type="expression" dxfId="140" priority="160">
      <formula>AND($I$126&lt;&gt;"",$I$127&lt;&gt;"",$I$128&gt;$I$127)</formula>
    </cfRule>
  </conditionalFormatting>
  <conditionalFormatting sqref="J128">
    <cfRule type="expression" dxfId="139" priority="159">
      <formula>AND($J$126&lt;&gt;"",$J$127&lt;&gt;"",$J$128&gt;$J$127)</formula>
    </cfRule>
  </conditionalFormatting>
  <conditionalFormatting sqref="K128">
    <cfRule type="expression" dxfId="138" priority="158">
      <formula>AND($K$126&lt;&gt;"",$K$127&lt;&gt;"",$K$128&gt;$K$127)</formula>
    </cfRule>
  </conditionalFormatting>
  <conditionalFormatting sqref="L128">
    <cfRule type="expression" dxfId="137" priority="157">
      <formula>AND($L$126&lt;&gt;"",$L$127&lt;&gt;"",$L$128&gt;$L$127)</formula>
    </cfRule>
  </conditionalFormatting>
  <conditionalFormatting sqref="M128">
    <cfRule type="expression" dxfId="136" priority="156">
      <formula>AND($M$126&lt;&gt;"",$M$127&lt;&gt;"",$M$128&gt;$M$127)</formula>
    </cfRule>
  </conditionalFormatting>
  <conditionalFormatting sqref="G128">
    <cfRule type="expression" dxfId="135" priority="151">
      <formula>AND($G$126&lt;&gt;"",$G$127&lt;&gt;"",$G$128&gt;$G$127)</formula>
    </cfRule>
  </conditionalFormatting>
  <conditionalFormatting sqref="E165">
    <cfRule type="expression" dxfId="134" priority="132">
      <formula>AND($D$4&lt;&gt;YEAR($E$51), $E$51&lt;&gt;0)</formula>
    </cfRule>
  </conditionalFormatting>
  <conditionalFormatting sqref="F165">
    <cfRule type="expression" dxfId="133" priority="150">
      <formula>AND($D$4&lt;&gt;YEAR($F$51), $F$51&lt;&gt;0)</formula>
    </cfRule>
  </conditionalFormatting>
  <conditionalFormatting sqref="G165">
    <cfRule type="expression" dxfId="132" priority="149">
      <formula>AND($D$4&lt;&gt;YEAR($G$51), $G$51&lt;&gt;0)</formula>
    </cfRule>
  </conditionalFormatting>
  <conditionalFormatting sqref="H165">
    <cfRule type="expression" dxfId="131" priority="135">
      <formula>AND($D$4&lt;&gt;YEAR($H$51), $H$51&lt;&gt;0)</formula>
    </cfRule>
  </conditionalFormatting>
  <conditionalFormatting sqref="I165">
    <cfRule type="expression" dxfId="130" priority="148">
      <formula>AND($D$4&lt;&gt;YEAR($I$51), $I$51&lt;&gt;0)</formula>
    </cfRule>
  </conditionalFormatting>
  <conditionalFormatting sqref="J165">
    <cfRule type="expression" dxfId="129" priority="134">
      <formula>AND($D$4&lt;&gt;YEAR($J$51), $J$51&lt;&gt;0)</formula>
    </cfRule>
  </conditionalFormatting>
  <conditionalFormatting sqref="K165">
    <cfRule type="expression" dxfId="128" priority="147">
      <formula>AND($D$4&lt;&gt;YEAR($K$51), $K$51&lt;&gt;0)</formula>
    </cfRule>
  </conditionalFormatting>
  <conditionalFormatting sqref="L165">
    <cfRule type="expression" dxfId="127" priority="146">
      <formula>AND($D$4&lt;&gt;YEAR($L$51), $L$51&lt;&gt;0)</formula>
    </cfRule>
  </conditionalFormatting>
  <conditionalFormatting sqref="M165">
    <cfRule type="expression" dxfId="126" priority="133">
      <formula>AND($D$4&lt;&gt;YEAR($M$51), $M$51&lt;&gt;0)</formula>
    </cfRule>
  </conditionalFormatting>
  <conditionalFormatting sqref="E165">
    <cfRule type="expression" dxfId="125" priority="145">
      <formula>AND($E$163&lt;&gt;"",$E$164&lt;&gt;"",$E$165&gt;$E$164)</formula>
    </cfRule>
  </conditionalFormatting>
  <conditionalFormatting sqref="F165">
    <cfRule type="expression" dxfId="124" priority="144">
      <formula>AND($F$163&lt;&gt;"",$F$164&lt;&gt;"",$F$165&gt;$F$164)</formula>
    </cfRule>
  </conditionalFormatting>
  <conditionalFormatting sqref="G165">
    <cfRule type="expression" dxfId="123" priority="143">
      <formula>AND($G$163&lt;&gt;"",$G$164&lt;&gt;"",$G$165&gt;$G$164)</formula>
    </cfRule>
  </conditionalFormatting>
  <conditionalFormatting sqref="H165">
    <cfRule type="expression" dxfId="122" priority="142">
      <formula>AND($H$163&lt;&gt;"",$H$164&lt;&gt;"",$H$165&gt;$H$164)</formula>
    </cfRule>
  </conditionalFormatting>
  <conditionalFormatting sqref="I165">
    <cfRule type="expression" dxfId="121" priority="141">
      <formula>AND($I$163&lt;&gt;"",$I$164&lt;&gt;"",$I$165&gt;$I$164)</formula>
    </cfRule>
  </conditionalFormatting>
  <conditionalFormatting sqref="J165">
    <cfRule type="expression" dxfId="120" priority="140">
      <formula>AND($J$163&lt;&gt;"",$J$164&lt;&gt;"",$J$165&gt;$J$164)</formula>
    </cfRule>
  </conditionalFormatting>
  <conditionalFormatting sqref="K165">
    <cfRule type="expression" dxfId="119" priority="139">
      <formula>AND($K$163&lt;&gt;"",$K$164&lt;&gt;"",$K$165&gt;$K$164)</formula>
    </cfRule>
  </conditionalFormatting>
  <conditionalFormatting sqref="L165">
    <cfRule type="expression" dxfId="118" priority="138">
      <formula>AND($L$163&lt;&gt;"",$L$164&lt;&gt;"",$L$165&gt;$L$164)</formula>
    </cfRule>
  </conditionalFormatting>
  <conditionalFormatting sqref="M165">
    <cfRule type="expression" dxfId="117" priority="137">
      <formula>AND($M$163&lt;&gt;"",$M$164&lt;&gt;"",$M$165&gt;$M$164)</formula>
    </cfRule>
  </conditionalFormatting>
  <conditionalFormatting sqref="O165">
    <cfRule type="expression" dxfId="116" priority="136">
      <formula>O188&lt;&gt;""</formula>
    </cfRule>
  </conditionalFormatting>
  <conditionalFormatting sqref="E166">
    <cfRule type="expression" dxfId="115" priority="131">
      <formula>$E$165&lt;$E$166</formula>
    </cfRule>
  </conditionalFormatting>
  <conditionalFormatting sqref="X49">
    <cfRule type="expression" dxfId="114" priority="129">
      <formula>X49&lt;&gt;""</formula>
    </cfRule>
  </conditionalFormatting>
  <conditionalFormatting sqref="O128">
    <cfRule type="expression" dxfId="113" priority="128">
      <formula>O128&lt;&gt;""</formula>
    </cfRule>
  </conditionalFormatting>
  <conditionalFormatting sqref="X53">
    <cfRule type="expression" dxfId="112" priority="127">
      <formula>X53&lt;&gt;""</formula>
    </cfRule>
  </conditionalFormatting>
  <conditionalFormatting sqref="X57">
    <cfRule type="expression" dxfId="111" priority="126">
      <formula>X57&lt;&gt;""</formula>
    </cfRule>
  </conditionalFormatting>
  <conditionalFormatting sqref="X64">
    <cfRule type="expression" dxfId="110" priority="125">
      <formula>X64&lt;&gt;""</formula>
    </cfRule>
  </conditionalFormatting>
  <conditionalFormatting sqref="AG64">
    <cfRule type="expression" dxfId="109" priority="124">
      <formula>AG64&lt;&gt;""</formula>
    </cfRule>
  </conditionalFormatting>
  <conditionalFormatting sqref="AG60">
    <cfRule type="expression" dxfId="108" priority="123">
      <formula>AG60&lt;&gt;""</formula>
    </cfRule>
  </conditionalFormatting>
  <conditionalFormatting sqref="AG55">
    <cfRule type="expression" dxfId="107" priority="122">
      <formula>AG55&lt;&gt;""</formula>
    </cfRule>
  </conditionalFormatting>
  <conditionalFormatting sqref="AG49">
    <cfRule type="expression" dxfId="106" priority="121">
      <formula>AG49&lt;&gt;""</formula>
    </cfRule>
  </conditionalFormatting>
  <conditionalFormatting sqref="AP49">
    <cfRule type="expression" dxfId="105" priority="120">
      <formula>AO49&lt;&gt;""</formula>
    </cfRule>
  </conditionalFormatting>
  <conditionalFormatting sqref="AP54">
    <cfRule type="expression" dxfId="104" priority="119">
      <formula>AO54&lt;&gt;""</formula>
    </cfRule>
  </conditionalFormatting>
  <conditionalFormatting sqref="AP60">
    <cfRule type="expression" dxfId="103" priority="118">
      <formula>AO60&lt;&gt;""</formula>
    </cfRule>
  </conditionalFormatting>
  <conditionalFormatting sqref="AP64">
    <cfRule type="expression" dxfId="102" priority="117">
      <formula>AP65&lt;&gt;""</formula>
    </cfRule>
  </conditionalFormatting>
  <conditionalFormatting sqref="AY54">
    <cfRule type="expression" dxfId="101" priority="116">
      <formula>AX54&lt;&gt;""</formula>
    </cfRule>
  </conditionalFormatting>
  <conditionalFormatting sqref="AY64">
    <cfRule type="expression" dxfId="100" priority="115">
      <formula>AY65&lt;&gt;""</formula>
    </cfRule>
  </conditionalFormatting>
  <conditionalFormatting sqref="AY49">
    <cfRule type="expression" dxfId="99" priority="114">
      <formula>AX49&lt;&gt;""</formula>
    </cfRule>
  </conditionalFormatting>
  <conditionalFormatting sqref="BH49">
    <cfRule type="expression" dxfId="98" priority="113">
      <formula>BG49&lt;&gt;""</formula>
    </cfRule>
  </conditionalFormatting>
  <conditionalFormatting sqref="BH53">
    <cfRule type="expression" dxfId="97" priority="112">
      <formula>BG53&lt;&gt;""</formula>
    </cfRule>
  </conditionalFormatting>
  <conditionalFormatting sqref="BH57">
    <cfRule type="expression" dxfId="96" priority="111">
      <formula>BG57&lt;&gt;""</formula>
    </cfRule>
  </conditionalFormatting>
  <conditionalFormatting sqref="BH64">
    <cfRule type="expression" dxfId="95" priority="110">
      <formula>BH65&lt;&gt;""</formula>
    </cfRule>
  </conditionalFormatting>
  <conditionalFormatting sqref="BQ49">
    <cfRule type="expression" dxfId="94" priority="109">
      <formula>BQ49&lt;&gt;""</formula>
    </cfRule>
  </conditionalFormatting>
  <conditionalFormatting sqref="BQ64">
    <cfRule type="expression" dxfId="93" priority="108">
      <formula>BQ64&lt;&gt;""</formula>
    </cfRule>
  </conditionalFormatting>
  <conditionalFormatting sqref="X78">
    <cfRule type="expression" dxfId="92" priority="107">
      <formula>$X$78&lt;&gt;""</formula>
    </cfRule>
  </conditionalFormatting>
  <conditionalFormatting sqref="X81">
    <cfRule type="expression" dxfId="91" priority="106">
      <formula>$X$81&lt;&gt;""</formula>
    </cfRule>
  </conditionalFormatting>
  <conditionalFormatting sqref="X86">
    <cfRule type="expression" dxfId="90" priority="105">
      <formula>$X$86&lt;&gt;""</formula>
    </cfRule>
  </conditionalFormatting>
  <conditionalFormatting sqref="X89">
    <cfRule type="expression" dxfId="89" priority="104">
      <formula>$X$89&lt;&gt;""</formula>
    </cfRule>
  </conditionalFormatting>
  <conditionalFormatting sqref="AG78">
    <cfRule type="expression" dxfId="88" priority="103">
      <formula>$AG$78&lt;&gt;""</formula>
    </cfRule>
  </conditionalFormatting>
  <conditionalFormatting sqref="AG86">
    <cfRule type="expression" dxfId="87" priority="102">
      <formula>$AG$86&lt;&gt;""</formula>
    </cfRule>
  </conditionalFormatting>
  <conditionalFormatting sqref="AG89">
    <cfRule type="expression" dxfId="86" priority="101">
      <formula>$AG$89&lt;&gt;""</formula>
    </cfRule>
  </conditionalFormatting>
  <conditionalFormatting sqref="AP78">
    <cfRule type="expression" dxfId="85" priority="100">
      <formula>$AP$78&lt;&gt;""</formula>
    </cfRule>
  </conditionalFormatting>
  <conditionalFormatting sqref="AP86">
    <cfRule type="expression" dxfId="84" priority="99">
      <formula>$AP$86&lt;&gt;""</formula>
    </cfRule>
  </conditionalFormatting>
  <conditionalFormatting sqref="AP89">
    <cfRule type="expression" dxfId="83" priority="98">
      <formula>$AP$89&lt;&gt;""</formula>
    </cfRule>
  </conditionalFormatting>
  <conditionalFormatting sqref="AY86">
    <cfRule type="expression" dxfId="82" priority="97">
      <formula>$AY$86&lt;&gt;""</formula>
    </cfRule>
  </conditionalFormatting>
  <conditionalFormatting sqref="AY89">
    <cfRule type="expression" dxfId="81" priority="96">
      <formula>$AY$89&lt;&gt;""</formula>
    </cfRule>
  </conditionalFormatting>
  <conditionalFormatting sqref="BH81">
    <cfRule type="expression" dxfId="80" priority="95">
      <formula>$BH$81&lt;&gt;""</formula>
    </cfRule>
  </conditionalFormatting>
  <conditionalFormatting sqref="BQ80">
    <cfRule type="expression" dxfId="79" priority="94">
      <formula>$BQ$80&lt;&gt;""</formula>
    </cfRule>
  </conditionalFormatting>
  <conditionalFormatting sqref="BQ78">
    <cfRule type="expression" dxfId="78" priority="93">
      <formula>$BQ$78&lt;&gt;""</formula>
    </cfRule>
  </conditionalFormatting>
  <conditionalFormatting sqref="CF80">
    <cfRule type="expression" dxfId="77" priority="92">
      <formula>$CF$80&lt;&gt;""</formula>
    </cfRule>
  </conditionalFormatting>
  <conditionalFormatting sqref="CF78">
    <cfRule type="expression" dxfId="76" priority="91">
      <formula>$CF$78&lt;&gt;""</formula>
    </cfRule>
  </conditionalFormatting>
  <conditionalFormatting sqref="CF88">
    <cfRule type="expression" dxfId="75" priority="90">
      <formula>$CF$88&lt;&gt;""</formula>
    </cfRule>
  </conditionalFormatting>
  <conditionalFormatting sqref="AY78">
    <cfRule type="expression" dxfId="74" priority="89">
      <formula>$AY$78&lt;&gt;""</formula>
    </cfRule>
  </conditionalFormatting>
  <conditionalFormatting sqref="BH78">
    <cfRule type="expression" dxfId="73" priority="88">
      <formula>$BH$78&lt;&gt;""</formula>
    </cfRule>
  </conditionalFormatting>
  <conditionalFormatting sqref="BM96:BQ98">
    <cfRule type="expression" dxfId="72" priority="87">
      <formula>$BM$96&lt;&gt;""</formula>
    </cfRule>
  </conditionalFormatting>
  <conditionalFormatting sqref="X102">
    <cfRule type="expression" dxfId="71" priority="86">
      <formula>$X$102&lt;&gt;""</formula>
    </cfRule>
  </conditionalFormatting>
  <conditionalFormatting sqref="X112">
    <cfRule type="expression" dxfId="70" priority="85">
      <formula>$X$112&lt;&gt;""</formula>
    </cfRule>
  </conditionalFormatting>
  <conditionalFormatting sqref="AG102">
    <cfRule type="expression" dxfId="69" priority="84">
      <formula>$AG$102&lt;&gt;""</formula>
    </cfRule>
  </conditionalFormatting>
  <conditionalFormatting sqref="AG105">
    <cfRule type="expression" dxfId="68" priority="83">
      <formula>$AG$105&lt;&gt;""</formula>
    </cfRule>
  </conditionalFormatting>
  <conditionalFormatting sqref="AG107">
    <cfRule type="expression" dxfId="67" priority="82">
      <formula>$AG$108&lt;&gt;""</formula>
    </cfRule>
  </conditionalFormatting>
  <conditionalFormatting sqref="AG113">
    <cfRule type="expression" dxfId="66" priority="81">
      <formula>$AG$113&lt;&gt;""</formula>
    </cfRule>
  </conditionalFormatting>
  <conditionalFormatting sqref="AP102">
    <cfRule type="expression" dxfId="65" priority="80">
      <formula>$AP$102&lt;&gt;""</formula>
    </cfRule>
  </conditionalFormatting>
  <conditionalFormatting sqref="AY102">
    <cfRule type="expression" dxfId="64" priority="79">
      <formula>$AY$102&lt;&gt;""</formula>
    </cfRule>
  </conditionalFormatting>
  <conditionalFormatting sqref="BH102">
    <cfRule type="expression" dxfId="63" priority="78">
      <formula>$BH$102&lt;&gt;""</formula>
    </cfRule>
  </conditionalFormatting>
  <conditionalFormatting sqref="Y122">
    <cfRule type="expression" dxfId="62" priority="77">
      <formula>$Y$122&lt;&gt;""</formula>
    </cfRule>
  </conditionalFormatting>
  <conditionalFormatting sqref="AI122">
    <cfRule type="expression" dxfId="61" priority="76">
      <formula>$AI$122&lt;&gt;""</formula>
    </cfRule>
  </conditionalFormatting>
  <conditionalFormatting sqref="Y159">
    <cfRule type="expression" dxfId="60" priority="75">
      <formula>$Y$159&lt;&gt;""</formula>
    </cfRule>
  </conditionalFormatting>
  <conditionalFormatting sqref="AI159">
    <cfRule type="expression" dxfId="59" priority="74">
      <formula>$AI$159&lt;&gt;""</formula>
    </cfRule>
  </conditionalFormatting>
  <conditionalFormatting sqref="O203">
    <cfRule type="expression" dxfId="58" priority="73">
      <formula>$O$203&lt;&gt;""</formula>
    </cfRule>
  </conditionalFormatting>
  <conditionalFormatting sqref="O233">
    <cfRule type="expression" dxfId="57" priority="72">
      <formula>$O$233&lt;&gt;""</formula>
    </cfRule>
  </conditionalFormatting>
  <conditionalFormatting sqref="BW242:BZ242">
    <cfRule type="expression" dxfId="56" priority="71">
      <formula>G233&gt;=9</formula>
    </cfRule>
  </conditionalFormatting>
  <conditionalFormatting sqref="CF242:CI242">
    <cfRule type="expression" dxfId="55" priority="70">
      <formula>G233&gt;=10</formula>
    </cfRule>
  </conditionalFormatting>
  <conditionalFormatting sqref="H242">
    <cfRule type="expression" dxfId="54" priority="69">
      <formula>$H$242&lt;&gt;""</formula>
    </cfRule>
  </conditionalFormatting>
  <conditionalFormatting sqref="H245:H246">
    <cfRule type="expression" dxfId="53" priority="68">
      <formula>$H$245&lt;&gt;""</formula>
    </cfRule>
  </conditionalFormatting>
  <conditionalFormatting sqref="H270:H271">
    <cfRule type="expression" dxfId="52" priority="67">
      <formula>$H$270&lt;&gt;""</formula>
    </cfRule>
  </conditionalFormatting>
  <conditionalFormatting sqref="O245:O246">
    <cfRule type="expression" dxfId="51" priority="66">
      <formula>$O$245&lt;&gt;""</formula>
    </cfRule>
  </conditionalFormatting>
  <conditionalFormatting sqref="O270:O271">
    <cfRule type="expression" dxfId="50" priority="65">
      <formula>$O$270&lt;&gt;""</formula>
    </cfRule>
  </conditionalFormatting>
  <conditionalFormatting sqref="X242">
    <cfRule type="expression" dxfId="49" priority="64">
      <formula>$X$242&lt;&gt;""</formula>
    </cfRule>
  </conditionalFormatting>
  <conditionalFormatting sqref="X245:X246">
    <cfRule type="expression" dxfId="48" priority="63">
      <formula>$X$245&lt;&gt;""</formula>
    </cfRule>
  </conditionalFormatting>
  <conditionalFormatting sqref="X270:X271">
    <cfRule type="expression" dxfId="47" priority="62">
      <formula>$X$270&lt;&gt;""</formula>
    </cfRule>
  </conditionalFormatting>
  <conditionalFormatting sqref="AG242">
    <cfRule type="expression" dxfId="46" priority="61">
      <formula>$AG$242&lt;&gt;""</formula>
    </cfRule>
  </conditionalFormatting>
  <conditionalFormatting sqref="AG245:AG246">
    <cfRule type="expression" dxfId="45" priority="60">
      <formula>$AG$245&lt;&gt;""</formula>
    </cfRule>
  </conditionalFormatting>
  <conditionalFormatting sqref="AG270:AG271">
    <cfRule type="expression" dxfId="44" priority="59">
      <formula>$AG$270&lt;&gt;""</formula>
    </cfRule>
  </conditionalFormatting>
  <conditionalFormatting sqref="AQ242">
    <cfRule type="expression" dxfId="43" priority="58">
      <formula>$AQ$242&lt;&gt;""</formula>
    </cfRule>
  </conditionalFormatting>
  <conditionalFormatting sqref="AQ245:AQ246">
    <cfRule type="expression" dxfId="42" priority="57">
      <formula>$AQ$245&lt;&gt;""</formula>
    </cfRule>
  </conditionalFormatting>
  <conditionalFormatting sqref="AQ270:AQ271">
    <cfRule type="expression" dxfId="41" priority="56">
      <formula>$AQ$270&lt;&gt;""</formula>
    </cfRule>
  </conditionalFormatting>
  <conditionalFormatting sqref="AZ242">
    <cfRule type="expression" dxfId="40" priority="55">
      <formula>$AZ$242&lt;&gt;""</formula>
    </cfRule>
  </conditionalFormatting>
  <conditionalFormatting sqref="AZ245:AZ246">
    <cfRule type="expression" dxfId="39" priority="54">
      <formula>$AZ$245&lt;&gt;""</formula>
    </cfRule>
  </conditionalFormatting>
  <conditionalFormatting sqref="AZ270:AZ271">
    <cfRule type="expression" dxfId="38" priority="53">
      <formula>$AZ$270&lt;&gt;""</formula>
    </cfRule>
  </conditionalFormatting>
  <conditionalFormatting sqref="BI242">
    <cfRule type="expression" dxfId="37" priority="52">
      <formula>$BI$242&lt;&gt;""</formula>
    </cfRule>
  </conditionalFormatting>
  <conditionalFormatting sqref="BI245:BI246">
    <cfRule type="expression" dxfId="36" priority="51">
      <formula>$BI$245&lt;&gt;""</formula>
    </cfRule>
  </conditionalFormatting>
  <conditionalFormatting sqref="BI270:BI271">
    <cfRule type="expression" dxfId="35" priority="50">
      <formula>$BI$270&lt;&gt;""</formula>
    </cfRule>
  </conditionalFormatting>
  <conditionalFormatting sqref="BR242">
    <cfRule type="expression" dxfId="34" priority="49">
      <formula>$BR$242&lt;&gt;""</formula>
    </cfRule>
  </conditionalFormatting>
  <conditionalFormatting sqref="BR245:BR246">
    <cfRule type="expression" dxfId="33" priority="48">
      <formula>$BR$245&lt;&gt;""</formula>
    </cfRule>
  </conditionalFormatting>
  <conditionalFormatting sqref="BR270:BR271">
    <cfRule type="expression" dxfId="32" priority="47">
      <formula>$BR$270&lt;&gt;""</formula>
    </cfRule>
  </conditionalFormatting>
  <conditionalFormatting sqref="CA242">
    <cfRule type="expression" dxfId="31" priority="46">
      <formula>$CA$242&lt;&gt;""</formula>
    </cfRule>
  </conditionalFormatting>
  <conditionalFormatting sqref="CA245:CA246">
    <cfRule type="expression" dxfId="30" priority="45">
      <formula>$CA$245&lt;&gt;""</formula>
    </cfRule>
  </conditionalFormatting>
  <conditionalFormatting sqref="CJ242">
    <cfRule type="expression" dxfId="29" priority="44">
      <formula>$CJ$242&lt;&gt;""</formula>
    </cfRule>
  </conditionalFormatting>
  <conditionalFormatting sqref="CJ245:CJ246">
    <cfRule type="expression" dxfId="28" priority="43">
      <formula>$CJ$245&lt;&gt;""</formula>
    </cfRule>
  </conditionalFormatting>
  <conditionalFormatting sqref="CA270:CA271">
    <cfRule type="expression" dxfId="27" priority="42">
      <formula>$CA$270&lt;&gt;""</formula>
    </cfRule>
  </conditionalFormatting>
  <conditionalFormatting sqref="CJ270:CJ271">
    <cfRule type="expression" dxfId="26" priority="41">
      <formula>$CJ$270&lt;&gt;""</formula>
    </cfRule>
  </conditionalFormatting>
  <conditionalFormatting sqref="O390:O391">
    <cfRule type="expression" dxfId="25" priority="40">
      <formula>$O$390&lt;&gt;""</formula>
    </cfRule>
  </conditionalFormatting>
  <conditionalFormatting sqref="O402:O403">
    <cfRule type="expression" dxfId="24" priority="39">
      <formula>$O$402&lt;&gt;""</formula>
    </cfRule>
  </conditionalFormatting>
  <conditionalFormatting sqref="O335">
    <cfRule type="expression" dxfId="23" priority="37">
      <formula>O335&lt;&gt;""</formula>
    </cfRule>
  </conditionalFormatting>
  <conditionalFormatting sqref="O350">
    <cfRule type="expression" dxfId="22" priority="36">
      <formula>O350&lt;&gt;""</formula>
    </cfRule>
  </conditionalFormatting>
  <conditionalFormatting sqref="O347">
    <cfRule type="expression" dxfId="21" priority="27">
      <formula>O347&lt;&gt;""</formula>
    </cfRule>
  </conditionalFormatting>
  <conditionalFormatting sqref="O338">
    <cfRule type="expression" dxfId="20" priority="26">
      <formula>O338&lt;&gt;""</formula>
    </cfRule>
  </conditionalFormatting>
  <conditionalFormatting sqref="O353">
    <cfRule type="expression" dxfId="19" priority="25">
      <formula>O353&lt;&gt;""</formula>
    </cfRule>
  </conditionalFormatting>
  <conditionalFormatting sqref="O356">
    <cfRule type="expression" dxfId="18" priority="24">
      <formula>O356&lt;&gt;""</formula>
    </cfRule>
  </conditionalFormatting>
  <conditionalFormatting sqref="O369">
    <cfRule type="expression" dxfId="17" priority="23">
      <formula>O369&lt;&gt;""</formula>
    </cfRule>
  </conditionalFormatting>
  <conditionalFormatting sqref="O340">
    <cfRule type="expression" dxfId="16" priority="22">
      <formula>O340&lt;&gt;""</formula>
    </cfRule>
  </conditionalFormatting>
  <conditionalFormatting sqref="O342">
    <cfRule type="expression" dxfId="15" priority="21">
      <formula>O342&lt;&gt;""</formula>
    </cfRule>
  </conditionalFormatting>
  <conditionalFormatting sqref="O344">
    <cfRule type="expression" dxfId="14" priority="20">
      <formula>O344&lt;&gt;""</formula>
    </cfRule>
  </conditionalFormatting>
  <conditionalFormatting sqref="O358">
    <cfRule type="expression" dxfId="13" priority="19">
      <formula>O358&lt;&gt;""</formula>
    </cfRule>
  </conditionalFormatting>
  <conditionalFormatting sqref="O360">
    <cfRule type="expression" dxfId="12" priority="18">
      <formula>O340&lt;&gt;""</formula>
    </cfRule>
  </conditionalFormatting>
  <conditionalFormatting sqref="O362">
    <cfRule type="expression" dxfId="11" priority="17">
      <formula>O362&lt;&gt;""</formula>
    </cfRule>
  </conditionalFormatting>
  <conditionalFormatting sqref="O364">
    <cfRule type="expression" dxfId="10" priority="16">
      <formula>O364&lt;&gt;""</formula>
    </cfRule>
  </conditionalFormatting>
  <conditionalFormatting sqref="O366">
    <cfRule type="expression" dxfId="9" priority="15">
      <formula>O366&lt;&gt;""</formula>
    </cfRule>
  </conditionalFormatting>
  <conditionalFormatting sqref="O10">
    <cfRule type="expression" dxfId="8" priority="2495">
      <formula>AND($D$14&lt;&gt;"",$D$417&lt;&gt;"",$D$421="")</formula>
    </cfRule>
  </conditionalFormatting>
  <conditionalFormatting sqref="O372">
    <cfRule type="expression" dxfId="7" priority="8">
      <formula>O372&lt;&gt;""</formula>
    </cfRule>
  </conditionalFormatting>
  <conditionalFormatting sqref="O375">
    <cfRule type="expression" dxfId="6" priority="7">
      <formula>O375&lt;&gt;""</formula>
    </cfRule>
  </conditionalFormatting>
  <conditionalFormatting sqref="O377">
    <cfRule type="expression" dxfId="5" priority="6">
      <formula>O377&lt;&gt;""</formula>
    </cfRule>
  </conditionalFormatting>
  <conditionalFormatting sqref="O379">
    <cfRule type="expression" dxfId="4" priority="5">
      <formula>O379&lt;&gt;""</formula>
    </cfRule>
  </conditionalFormatting>
  <conditionalFormatting sqref="O381">
    <cfRule type="expression" dxfId="3" priority="4">
      <formula>O381&lt;&gt;""</formula>
    </cfRule>
  </conditionalFormatting>
  <conditionalFormatting sqref="I382">
    <cfRule type="expression" dxfId="2" priority="3">
      <formula>$I$382&gt;100</formula>
    </cfRule>
  </conditionalFormatting>
  <conditionalFormatting sqref="O382">
    <cfRule type="expression" dxfId="1" priority="2">
      <formula>O382&lt;&gt;""</formula>
    </cfRule>
  </conditionalFormatting>
  <conditionalFormatting sqref="G44:H44">
    <cfRule type="expression" dxfId="0" priority="1">
      <formula>$G$44="Please Select"</formula>
    </cfRule>
  </conditionalFormatting>
  <dataValidations count="17">
    <dataValidation type="list" allowBlank="1" showInputMessage="1" showErrorMessage="1" sqref="H18 F207:G221" xr:uid="{00000000-0002-0000-0000-000000000000}">
      <formula1>"AK, AL, AR, AZ, CA, CO, CT, DC, DE, FL, GA, HI, IA, ID, IL, IN, KS, KY, LA, MA, MD, ME, MI, MN, MO, MS, MT, NC, ND, NE, NH, NJ, NM, NV, NY, OH, OK, OR, PA, RI, SC, SD, TN, TX, UT, VA, VT, WA, WI, WV, WY"</formula1>
    </dataValidation>
    <dataValidation type="list" allowBlank="1" showInputMessage="1" showErrorMessage="1" sqref="G303 I312:I326 G305 D305 D307 D303" xr:uid="{00000000-0002-0000-0000-000001000000}">
      <formula1>"Yes, No"</formula1>
    </dataValidation>
    <dataValidation type="list" allowBlank="1" showInputMessage="1" showErrorMessage="1" sqref="G203" xr:uid="{00000000-0002-0000-0000-000002000000}">
      <formula1>"1, 2, 3, 4, 5, 6, 7, 8, 9,10,11,12,13,14,15"</formula1>
    </dataValidation>
    <dataValidation type="list" allowBlank="1" showInputMessage="1" showErrorMessage="1" sqref="G44:H44" xr:uid="{00000000-0002-0000-0000-000003000000}">
      <formula1>" Please Select,0,1,2,3,4,5,6,7,8,9"</formula1>
    </dataValidation>
    <dataValidation type="list" allowBlank="1" showInputMessage="1" showErrorMessage="1" sqref="G231:H231 Q53 Q57 Z49 Z55 AE60:AF60 BA57 AI54 AI60 AI49:AJ49 BA49:BB49 AR54:AS54 BA53 AR49:AS49 Z60:AA60" xr:uid="{00000000-0002-0000-0000-000004000000}">
      <formula1>"Please Select, No, Yes"</formula1>
    </dataValidation>
    <dataValidation type="list" allowBlank="1" showInputMessage="1" showErrorMessage="1" sqref="G233:H233" xr:uid="{00000000-0002-0000-0000-000005000000}">
      <formula1>"1,2,3,4,5,6,7,8,9,10"</formula1>
    </dataValidation>
    <dataValidation type="list" allowBlank="1" showInputMessage="1" showErrorMessage="1" sqref="Q49:T49" xr:uid="{00000000-0002-0000-0000-000006000000}">
      <formula1>"Please Select, End of Add/Drop, First Day of Class, IPEDS reported number, Major Code Assigned by Registrar, Other"</formula1>
    </dataValidation>
    <dataValidation type="list" allowBlank="1" showInputMessage="1" showErrorMessage="1" sqref="D21:F21" xr:uid="{00000000-0002-0000-0000-000007000000}">
      <formula1>"Please Select, Letter of Review, Initial Accreditation, Continuing Accreditation, Probationary Accreditation, Inactive"</formula1>
    </dataValidation>
    <dataValidation type="list" allowBlank="1" showInputMessage="1" showErrorMessage="1" sqref="G385 BV78:BW78 Z105:AA105 Z102:AA102 G301 G74:H74 G397 G399 Q81:R81 Q86:R86 Z86:AA86 AI86:AJ86 AR86:AS86 BA78:BB78 BJ78:BK78 G387 G353 G358 G360 G362 G364 G366" xr:uid="{00000000-0002-0000-0000-000008000000}">
      <formula1>"Please Select, Yes, No"</formula1>
    </dataValidation>
    <dataValidation type="list" allowBlank="1" showInputMessage="1" showErrorMessage="1" sqref="D25" xr:uid="{00000000-0002-0000-0000-000009000000}">
      <formula1>"Please Select, Yes,No"</formula1>
    </dataValidation>
    <dataValidation type="list" allowBlank="1" showInputMessage="1" showErrorMessage="1" sqref="E242:G242 BW242 CF242 T242 AC242 AM242 AV242 BE242 BN242 L242" xr:uid="{00000000-0002-0000-0000-00000A000000}">
      <formula1>"Faculty, Medical Director, Support Personnel, Curriculum, Financial Resources, Facilities, Clinical Resources, Field Internship Resources, Learning Resources, Physician Interaction"</formula1>
    </dataValidation>
    <dataValidation type="list" allowBlank="1" showInputMessage="1" showErrorMessage="1" sqref="G201" xr:uid="{00000000-0002-0000-0000-00000B000000}">
      <formula1>"Please Select,Yes, No"</formula1>
    </dataValidation>
    <dataValidation type="list" allowBlank="1" showInputMessage="1" showErrorMessage="1" sqref="C415" xr:uid="{00000000-0002-0000-0000-00000C000000}">
      <formula1>"Please Select, Yes"</formula1>
    </dataValidation>
    <dataValidation type="list" allowBlank="1" showInputMessage="1" showErrorMessage="1" sqref="G77:H77" xr:uid="{00000000-0002-0000-0000-00000D000000}">
      <formula1>"National Registry, State"</formula1>
    </dataValidation>
    <dataValidation type="list" allowBlank="1" showInputMessage="1" showErrorMessage="1" sqref="Q78 S78" xr:uid="{00000000-0002-0000-0000-00000E000000}">
      <formula1>"Please Select, Improving, Steady, Declining"</formula1>
    </dataValidation>
    <dataValidation type="list" allowBlank="1" showInputMessage="1" showErrorMessage="1" sqref="G369" xr:uid="{00000000-0002-0000-0000-00000F000000}">
      <formula1>Dollar</formula1>
    </dataValidation>
    <dataValidation type="list" allowBlank="1" showInputMessage="1" showErrorMessage="1" sqref="G375 G377 G379 G381" xr:uid="{00000000-0002-0000-0000-000010000000}">
      <formula1>"Please Select, Yes, N/A"</formula1>
    </dataValidation>
  </dataValidations>
  <hyperlinks>
    <hyperlink ref="B299:L299" r:id="rId2" display="http://coaemsp.org/Policy_Procedures.htm" xr:uid="{00000000-0004-0000-0000-000000000000}"/>
    <hyperlink ref="B228:L228" r:id="rId3" display="http://coaemsp.org/Policy_Procedures.htm" xr:uid="{00000000-0004-0000-0000-000001000000}"/>
    <hyperlink ref="B228" r:id="rId4" xr:uid="{00000000-0004-0000-0000-000002000000}"/>
    <hyperlink ref="CD237:CI238" location="'2018 Annual Report'!A334" display="'2018 Annual Report'!A334" xr:uid="{00000000-0004-0000-0000-000003000000}"/>
    <hyperlink ref="BL237:BQ238" location="'2018 Annual Report'!A334" display="'2018 Annual Report'!A334" xr:uid="{00000000-0004-0000-0000-000004000000}"/>
    <hyperlink ref="AT237:AY238" location="'2018 Annual Report'!A334" display="'2018 Annual Report'!A334" xr:uid="{00000000-0004-0000-0000-000005000000}"/>
    <hyperlink ref="AB237:AG238" location="'2018 Annual Report'!A334" display="'2018 Annual Report'!A334" xr:uid="{00000000-0004-0000-0000-000006000000}"/>
    <hyperlink ref="BL42" location="'2017 Annual Report'!A77" display="'2017 Annual Report'!A77" xr:uid="{00000000-0004-0000-0000-000007000000}"/>
    <hyperlink ref="CA117:CE117" location="'2017 Annual Report'!A124" display="'2017 Annual Report'!A124" xr:uid="{00000000-0004-0000-0000-000008000000}"/>
    <hyperlink ref="CA154:CE154" location="'2017 Annual Report'!A124" display="'2017 Annual Report'!A124" xr:uid="{00000000-0004-0000-0000-000009000000}"/>
    <hyperlink ref="CA192:CE192" location="'2017 Annual Report'!A124" display="'2017 Annual Report'!A124" xr:uid="{00000000-0004-0000-0000-00000A000000}"/>
    <hyperlink ref="L36" r:id="rId5" xr:uid="{00000000-0004-0000-0000-00000B000000}"/>
    <hyperlink ref="CA72:CE75" location="'2018 Annual Report'!A106" display="'2018 Annual Report'!A106" xr:uid="{00000000-0004-0000-0000-00000C000000}"/>
    <hyperlink ref="BL42:BP44" location="'2018 Annual Report'!A77" display="'2018 Annual Report'!A77" xr:uid="{00000000-0004-0000-0000-00000D000000}"/>
    <hyperlink ref="BL73:BP73" location="'2018 Annual Report'!A77" display="'2018 Annual Report'!A77" xr:uid="{00000000-0004-0000-0000-00000E000000}"/>
    <hyperlink ref="BM96" location="'2017 Annual Report'!A77" display="'2017 Annual Report'!A77" xr:uid="{00000000-0004-0000-0000-00000F000000}"/>
    <hyperlink ref="BM96:BQ98" location="'2018 Annual Report'!E127" display="'2018 Annual Report'!E127" xr:uid="{00000000-0004-0000-0000-000010000000}"/>
  </hyperlinks>
  <printOptions horizontalCentered="1"/>
  <pageMargins left="0.15" right="0.15" top="0.25" bottom="0.25" header="0" footer="0"/>
  <pageSetup scale="57" fitToWidth="0" pageOrder="overThenDown" orientation="landscape" r:id="rId6"/>
  <rowBreaks count="8" manualBreakCount="8">
    <brk id="40" max="13" man="1"/>
    <brk id="70" max="13" man="1"/>
    <brk id="96" max="13" man="1"/>
    <brk id="117" max="13" man="1"/>
    <brk id="154" max="13" man="1"/>
    <brk id="192" max="13" man="1"/>
    <brk id="224" max="13" man="1"/>
    <brk id="293" max="13" man="1"/>
  </rowBreaks>
  <colBreaks count="8" manualBreakCount="8">
    <brk id="14" max="1048575" man="1"/>
    <brk id="33" max="354" man="1"/>
    <brk id="51" min="40" max="68" man="1"/>
    <brk id="51" min="70" max="111" man="1"/>
    <brk id="51" min="235" max="292" man="1"/>
    <brk id="69" max="1048575" man="1"/>
    <brk id="88" max="307" man="1"/>
    <brk id="106" max="307" man="1"/>
  </colBreaks>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 Annual Report</vt:lpstr>
      <vt:lpstr>Dollar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Steve F Katros</cp:lastModifiedBy>
  <cp:lastPrinted>2018-02-22T14:43:04Z</cp:lastPrinted>
  <dcterms:created xsi:type="dcterms:W3CDTF">2015-02-14T20:55:58Z</dcterms:created>
  <dcterms:modified xsi:type="dcterms:W3CDTF">2021-04-30T12:16:03Z</dcterms:modified>
</cp:coreProperties>
</file>